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sdsmt0-my.sharepoint.com/personal/laurie_anderson_sdsmt_edu/Documents/Documents/VPR/Preaward files to Jade/"/>
    </mc:Choice>
  </mc:AlternateContent>
  <xr:revisionPtr revIDLastSave="21" documentId="8_{391C22CE-AACF-4B7E-BAAC-5DDF64797DC1}" xr6:coauthVersionLast="47" xr6:coauthVersionMax="47" xr10:uidLastSave="{CA4E700F-4DB3-465D-BB62-EE4F79434F30}"/>
  <bookViews>
    <workbookView xWindow="-108" yWindow="-108" windowWidth="23256" windowHeight="12576" tabRatio="830" activeTab="4" xr2:uid="{00000000-000D-0000-FFFF-FFFF00000000}"/>
  </bookViews>
  <sheets>
    <sheet name="Data" sheetId="22" r:id="rId1"/>
    <sheet name="Salaries" sheetId="21" r:id="rId2"/>
    <sheet name="FedSumYR1" sheetId="14" state="hidden" r:id="rId3"/>
    <sheet name="Narrative" sheetId="15" state="hidden" r:id="rId4"/>
    <sheet name="YEAR 1" sheetId="1" r:id="rId5"/>
    <sheet name="YEAR 2" sheetId="23" r:id="rId6"/>
    <sheet name="FedSumYR2" sheetId="29" state="hidden" r:id="rId7"/>
    <sheet name="YEAR 3" sheetId="24" r:id="rId8"/>
    <sheet name="FedSumYR3" sheetId="30" state="hidden" r:id="rId9"/>
    <sheet name="YEAR 4" sheetId="27" r:id="rId10"/>
    <sheet name="FedSumYR4" sheetId="31" state="hidden" r:id="rId11"/>
    <sheet name="YEAR 5" sheetId="28" r:id="rId12"/>
    <sheet name="FedSumYR5" sheetId="32" state="hidden" r:id="rId13"/>
    <sheet name="FedSum All" sheetId="33" state="hidden" r:id="rId14"/>
    <sheet name="ALL YRS" sheetId="34" r:id="rId15"/>
    <sheet name="Grants.Gov Sum" sheetId="9" state="hidden" r:id="rId16"/>
    <sheet name="BANNER FRAPROP Yr 1" sheetId="39" state="hidden" r:id="rId17"/>
    <sheet name="BANNER FRAPROP Yr 2" sheetId="40" state="hidden" r:id="rId18"/>
    <sheet name="BANNER FRAPROP Yr 3" sheetId="41" state="hidden" r:id="rId19"/>
    <sheet name="BANNER FRAPROP Yr 4" sheetId="42" state="hidden" r:id="rId20"/>
    <sheet name="BANNER FRAPROP Yr 5" sheetId="43" state="hidden" r:id="rId21"/>
    <sheet name="BANNER FRAPROP SUMM" sheetId="44" state="hidden" r:id="rId22"/>
    <sheet name="Univ 424" sheetId="11" state="hidden" r:id="rId23"/>
    <sheet name="Univ 424A-1" sheetId="12" state="hidden" r:id="rId24"/>
    <sheet name="Univ 424A-2" sheetId="13" state="hidden" r:id="rId25"/>
  </sheets>
  <externalReferences>
    <externalReference r:id="rId26"/>
  </externalReferences>
  <definedNames>
    <definedName name="\b" localSheetId="3">'[1]Budget Page'!#REF!</definedName>
    <definedName name="\l" localSheetId="3">'[1]Budget Page'!#REF!</definedName>
    <definedName name="\r" localSheetId="3">'[1]Budget Page'!#REF!</definedName>
    <definedName name="\s" localSheetId="3">'[1]Budget Page'!#REF!</definedName>
    <definedName name="\t" localSheetId="3">'[1]Budget Page'!#REF!</definedName>
    <definedName name="_Regression_Int" localSheetId="14" hidden="1">1</definedName>
    <definedName name="_Regression_Int" localSheetId="4"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COLA" localSheetId="22">#REF!</definedName>
    <definedName name="COLA">Data!$I$280</definedName>
    <definedName name="CONTRACTFEE">Data!$E$36</definedName>
    <definedName name="COSTSHARERATE">Data!$S$22</definedName>
    <definedName name="Dept">Data!$K$165:$L$237</definedName>
    <definedName name="EndDate">Data!$I$9</definedName>
    <definedName name="Faculty">Salaries!$A$2:$A$370</definedName>
    <definedName name="FrCOLA">Data!$I$281</definedName>
    <definedName name="FRINGE">Data!$I$284</definedName>
    <definedName name="INDIRECT">Data!$S$20</definedName>
    <definedName name="PI">Data!$M$5</definedName>
    <definedName name="_xlnm.Print_Area" localSheetId="14">'ALL YRS'!$A$1:$Y$262</definedName>
    <definedName name="_xlnm.Print_Area" localSheetId="21">'BANNER FRAPROP SUMM'!$A$1:$L$24</definedName>
    <definedName name="_xlnm.Print_Area" localSheetId="16">'BANNER FRAPROP Yr 1'!$A$1:$L$24</definedName>
    <definedName name="_xlnm.Print_Area" localSheetId="17">'BANNER FRAPROP Yr 2'!$A$1:$L$24</definedName>
    <definedName name="_xlnm.Print_Area" localSheetId="18">'BANNER FRAPROP Yr 3'!$A$1:$L$24</definedName>
    <definedName name="_xlnm.Print_Area" localSheetId="19">'BANNER FRAPROP Yr 4'!$A$1:$L$24</definedName>
    <definedName name="_xlnm.Print_Area" localSheetId="20">'BANNER FRAPROP Yr 5'!$A$1:$L$23</definedName>
    <definedName name="_xlnm.Print_Area" localSheetId="13">'FedSum All'!$A$1:$L$47</definedName>
    <definedName name="_xlnm.Print_Area" localSheetId="2">FedSumYR1!$A$1:$L$47</definedName>
    <definedName name="_xlnm.Print_Area" localSheetId="6">FedSumYR2!$A$1:$L$47</definedName>
    <definedName name="_xlnm.Print_Area" localSheetId="8">FedSumYR3!$A$1:$L$47</definedName>
    <definedName name="_xlnm.Print_Area" localSheetId="10">FedSumYR4!$A$1:$L$47</definedName>
    <definedName name="_xlnm.Print_Area" localSheetId="12">FedSumYR5!$A$1:$L$47</definedName>
    <definedName name="_xlnm.Print_Area" localSheetId="15">'Grants.Gov Sum'!$A$1:$X$22</definedName>
    <definedName name="_xlnm.Print_Area" localSheetId="3">Narrative!$A$1:$P$77</definedName>
    <definedName name="_xlnm.Print_Area" localSheetId="1">Salaries!$A$1:$I$369</definedName>
    <definedName name="_xlnm.Print_Area" localSheetId="22">'Univ 424'!$A$2:$BZ$77</definedName>
    <definedName name="_xlnm.Print_Area" localSheetId="23">'Univ 424A-1'!$A$1:$H$24</definedName>
    <definedName name="_xlnm.Print_Area" localSheetId="24">'Univ 424A-2'!$B$1:$H$23</definedName>
    <definedName name="_xlnm.Print_Area" localSheetId="4">'YEAR 1'!$A$1:$AR$259</definedName>
    <definedName name="_xlnm.Print_Area" localSheetId="5">'YEAR 2'!$A$1:$AR$260</definedName>
    <definedName name="_xlnm.Print_Area" localSheetId="7">'YEAR 3'!$A$1:$AR$260</definedName>
    <definedName name="_xlnm.Print_Area" localSheetId="9">'YEAR 4'!$A$1:$AR$260</definedName>
    <definedName name="_xlnm.Print_Area" localSheetId="11">'YEAR 5'!$A$1:$AR$260</definedName>
    <definedName name="_xlnm.Print_Titles" localSheetId="14">'ALL YRS'!$1:$10</definedName>
    <definedName name="_xlnm.Print_Titles" localSheetId="3">Narrative!$1:$7</definedName>
    <definedName name="_xlnm.Print_Titles" localSheetId="4">'YEAR 1'!$1:$10</definedName>
    <definedName name="_xlnm.Print_Titles" localSheetId="5">'YEAR 2'!$1:$10</definedName>
    <definedName name="_xlnm.Print_Titles" localSheetId="7">'YEAR 3'!$1:$10</definedName>
    <definedName name="_xlnm.Print_Titles" localSheetId="9">'YEAR 4'!$1:$10</definedName>
    <definedName name="_xlnm.Print_Titles" localSheetId="11">'YEAR 5'!$1:$10</definedName>
    <definedName name="RECOVERED">Data!$S$24</definedName>
    <definedName name="StartDate">Data!$I$7</definedName>
    <definedName name="Student">Salaries!#REF!</definedName>
    <definedName name="StuFRINGE">Data!$I$285</definedName>
    <definedName name="Title">Data!$K$3</definedName>
    <definedName name="TRInStart">Data!$I$283</definedName>
    <definedName name="TROutStart">Data!$I$282</definedName>
    <definedName name="YR1End">Data!$I$270</definedName>
    <definedName name="YR1Start">Data!$I$269</definedName>
    <definedName name="YR2End">Data!$I$272</definedName>
    <definedName name="YR2Start">Data!$I$271</definedName>
    <definedName name="YR3End">Data!$I$274</definedName>
    <definedName name="YR3Start">Data!$I$273</definedName>
    <definedName name="YR4End">Data!$I$276</definedName>
    <definedName name="YR4Start">Data!$I$275</definedName>
    <definedName name="YR5End">Data!$I$278</definedName>
    <definedName name="YR5Start">Data!$I$277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B407" i="21" l="1"/>
  <c r="M193" i="22"/>
  <c r="B412" i="21"/>
  <c r="M198" i="22"/>
  <c r="B443" i="21"/>
  <c r="B442" i="21"/>
  <c r="B441" i="21"/>
  <c r="B440" i="21"/>
  <c r="B439" i="21"/>
  <c r="B438" i="21"/>
  <c r="B437" i="21"/>
  <c r="B436" i="21"/>
  <c r="B435" i="21"/>
  <c r="B434" i="21"/>
  <c r="B433" i="21"/>
  <c r="B432" i="21"/>
  <c r="B431" i="21"/>
  <c r="B430" i="21"/>
  <c r="B429" i="21"/>
  <c r="B428" i="21"/>
  <c r="B427" i="21"/>
  <c r="B426" i="21"/>
  <c r="B425" i="21"/>
  <c r="B424" i="21"/>
  <c r="B423" i="21"/>
  <c r="B422" i="21"/>
  <c r="B421" i="21"/>
  <c r="B420" i="21"/>
  <c r="B419" i="21"/>
  <c r="B418" i="21"/>
  <c r="B417" i="21"/>
  <c r="B416" i="21"/>
  <c r="B415" i="21"/>
  <c r="B414" i="21"/>
  <c r="B413" i="21"/>
  <c r="B411" i="21"/>
  <c r="B410" i="21"/>
  <c r="B409" i="21"/>
  <c r="B408" i="21"/>
  <c r="B406" i="21"/>
  <c r="B405" i="21"/>
  <c r="B404" i="21"/>
  <c r="B403" i="21"/>
  <c r="B402" i="21"/>
  <c r="B401" i="21"/>
  <c r="B400" i="21"/>
  <c r="B399" i="21"/>
  <c r="B398" i="21"/>
  <c r="B397" i="21"/>
  <c r="B396" i="21"/>
  <c r="B395" i="21"/>
  <c r="B394" i="21"/>
  <c r="B393" i="21"/>
  <c r="B392" i="21"/>
  <c r="B391" i="21"/>
  <c r="B390" i="21"/>
  <c r="B389" i="21"/>
  <c r="B388" i="21"/>
  <c r="B387" i="21"/>
  <c r="B386" i="21"/>
  <c r="B385" i="21"/>
  <c r="B384" i="21"/>
  <c r="B383" i="21"/>
  <c r="B382" i="21"/>
  <c r="B381" i="21"/>
  <c r="B380" i="21"/>
  <c r="M220" i="22"/>
  <c r="M223" i="22"/>
  <c r="M212" i="22"/>
  <c r="M182" i="22"/>
  <c r="M183" i="22"/>
  <c r="M173" i="22"/>
  <c r="M171" i="22"/>
  <c r="M172" i="22"/>
  <c r="F302" i="21" l="1"/>
  <c r="G302" i="21" s="1"/>
  <c r="H302" i="21" s="1"/>
  <c r="I302" i="21" s="1"/>
  <c r="F116" i="21" l="1"/>
  <c r="G116" i="21" s="1"/>
  <c r="H116" i="21" s="1"/>
  <c r="I116" i="21" s="1"/>
  <c r="D208" i="28" l="1"/>
  <c r="D207" i="28"/>
  <c r="D206" i="28"/>
  <c r="D205" i="28"/>
  <c r="D178" i="28"/>
  <c r="D208" i="27"/>
  <c r="D207" i="27"/>
  <c r="D206" i="27"/>
  <c r="D205" i="27"/>
  <c r="D208" i="24"/>
  <c r="D207" i="24"/>
  <c r="D206" i="24"/>
  <c r="D205" i="24"/>
  <c r="D187" i="24"/>
  <c r="D208" i="23"/>
  <c r="D207" i="23"/>
  <c r="D206" i="23"/>
  <c r="D205" i="23"/>
  <c r="K290" i="22" l="1"/>
  <c r="K291" i="22" l="1"/>
  <c r="F342" i="21" l="1"/>
  <c r="G342" i="21" s="1"/>
  <c r="H342" i="21" s="1"/>
  <c r="I342" i="21" s="1"/>
  <c r="F52" i="21" l="1"/>
  <c r="G52" i="21" s="1"/>
  <c r="H52" i="21" s="1"/>
  <c r="I52" i="21" s="1"/>
  <c r="F227" i="21" l="1"/>
  <c r="G227" i="21" s="1"/>
  <c r="H227" i="21" s="1"/>
  <c r="I227" i="21" s="1"/>
  <c r="F226" i="21"/>
  <c r="G226" i="21" s="1"/>
  <c r="H226" i="21" s="1"/>
  <c r="I226" i="21" s="1"/>
  <c r="F214" i="21" l="1"/>
  <c r="G214" i="21" s="1"/>
  <c r="H214" i="21" s="1"/>
  <c r="I214" i="21" s="1"/>
  <c r="F215" i="21" l="1"/>
  <c r="G215" i="21" s="1"/>
  <c r="H215" i="21" s="1"/>
  <c r="I215" i="21" s="1"/>
  <c r="F289" i="21" l="1"/>
  <c r="G289" i="21" s="1"/>
  <c r="H289" i="21" s="1"/>
  <c r="I289" i="21" s="1"/>
  <c r="F26" i="21" l="1"/>
  <c r="G26" i="21" s="1"/>
  <c r="H26" i="21" s="1"/>
  <c r="I26" i="21" s="1"/>
  <c r="F147" i="21" l="1"/>
  <c r="G147" i="21" s="1"/>
  <c r="H147" i="21" s="1"/>
  <c r="I147" i="21" s="1"/>
  <c r="F278" i="21" l="1"/>
  <c r="G278" i="21" s="1"/>
  <c r="H278" i="21" s="1"/>
  <c r="I278" i="21" s="1"/>
  <c r="F230" i="21" l="1"/>
  <c r="G230" i="21" s="1"/>
  <c r="H230" i="21" s="1"/>
  <c r="I230" i="21" s="1"/>
  <c r="R164" i="34" l="1"/>
  <c r="R163" i="34"/>
  <c r="R162" i="34"/>
  <c r="R161" i="34"/>
  <c r="R160" i="34"/>
  <c r="R159" i="34"/>
  <c r="R158" i="34"/>
  <c r="R157" i="34"/>
  <c r="R156" i="34"/>
  <c r="R155" i="34"/>
  <c r="F322" i="21" l="1"/>
  <c r="G322" i="21" s="1"/>
  <c r="H322" i="21" s="1"/>
  <c r="I322" i="21" s="1"/>
  <c r="F45" i="21"/>
  <c r="G45" i="21" s="1"/>
  <c r="H45" i="21" s="1"/>
  <c r="I45" i="21" s="1"/>
  <c r="F21" i="21"/>
  <c r="G21" i="21" s="1"/>
  <c r="H21" i="21" s="1"/>
  <c r="I21" i="21" s="1"/>
  <c r="F276" i="21"/>
  <c r="G276" i="21" s="1"/>
  <c r="H276" i="21" s="1"/>
  <c r="I276" i="21" s="1"/>
  <c r="F119" i="21"/>
  <c r="G119" i="21" s="1"/>
  <c r="H119" i="21" s="1"/>
  <c r="I119" i="21" s="1"/>
  <c r="F195" i="21"/>
  <c r="G195" i="21" s="1"/>
  <c r="H195" i="21" s="1"/>
  <c r="I195" i="21" s="1"/>
  <c r="F79" i="21"/>
  <c r="G79" i="21" s="1"/>
  <c r="H79" i="21" s="1"/>
  <c r="I79" i="21" s="1"/>
  <c r="F296" i="21"/>
  <c r="G296" i="21" s="1"/>
  <c r="H296" i="21" s="1"/>
  <c r="I296" i="21" s="1"/>
  <c r="F136" i="21" l="1"/>
  <c r="G136" i="21" s="1"/>
  <c r="H136" i="21" s="1"/>
  <c r="I136" i="21" s="1"/>
  <c r="F168" i="21" l="1"/>
  <c r="G168" i="21" s="1"/>
  <c r="H168" i="21" s="1"/>
  <c r="I168" i="21" s="1"/>
  <c r="F49" i="21" l="1"/>
  <c r="G49" i="21" s="1"/>
  <c r="H49" i="21" s="1"/>
  <c r="I49" i="21" s="1"/>
  <c r="D147" i="34" l="1"/>
  <c r="D146" i="34"/>
  <c r="D145" i="34"/>
  <c r="D144" i="34"/>
  <c r="D138" i="34"/>
  <c r="D137" i="34"/>
  <c r="D136" i="34"/>
  <c r="D129" i="34"/>
  <c r="D128" i="34"/>
  <c r="D127" i="34"/>
  <c r="D120" i="34"/>
  <c r="D119" i="34"/>
  <c r="D118" i="34"/>
  <c r="D117" i="34"/>
  <c r="D111" i="34"/>
  <c r="D110" i="34"/>
  <c r="D109" i="34"/>
  <c r="D95" i="28"/>
  <c r="D86" i="28"/>
  <c r="D80" i="28"/>
  <c r="D95" i="27"/>
  <c r="D86" i="27"/>
  <c r="D80" i="27"/>
  <c r="D95" i="24"/>
  <c r="D80" i="24"/>
  <c r="D95" i="23"/>
  <c r="D80" i="23"/>
  <c r="F89" i="24"/>
  <c r="F83" i="24"/>
  <c r="F98" i="28"/>
  <c r="F98" i="27"/>
  <c r="F98" i="24"/>
  <c r="F98" i="23"/>
  <c r="F89" i="23"/>
  <c r="F83" i="23"/>
  <c r="F89" i="28"/>
  <c r="F83" i="28"/>
  <c r="F89" i="27"/>
  <c r="F83" i="27"/>
  <c r="F89" i="1"/>
  <c r="F83" i="1"/>
  <c r="O164" i="34" l="1"/>
  <c r="O163" i="34"/>
  <c r="O162" i="34"/>
  <c r="O161" i="34"/>
  <c r="O160" i="34"/>
  <c r="O159" i="34"/>
  <c r="O158" i="34"/>
  <c r="O157" i="34"/>
  <c r="O156" i="34"/>
  <c r="L164" i="34"/>
  <c r="L163" i="34"/>
  <c r="L162" i="34"/>
  <c r="L161" i="34"/>
  <c r="L160" i="34"/>
  <c r="L159" i="34"/>
  <c r="L158" i="34"/>
  <c r="L157" i="34"/>
  <c r="L156" i="34"/>
  <c r="I164" i="34"/>
  <c r="I163" i="34"/>
  <c r="I162" i="34"/>
  <c r="I161" i="34"/>
  <c r="I160" i="34"/>
  <c r="I159" i="34"/>
  <c r="I158" i="34"/>
  <c r="I157" i="34"/>
  <c r="I156" i="34"/>
  <c r="F158" i="34"/>
  <c r="F164" i="34"/>
  <c r="F163" i="34"/>
  <c r="F162" i="34"/>
  <c r="F161" i="34"/>
  <c r="F160" i="34"/>
  <c r="F159" i="34"/>
  <c r="F157" i="34"/>
  <c r="F156" i="34"/>
  <c r="D164" i="34"/>
  <c r="D163" i="34"/>
  <c r="D160" i="34"/>
  <c r="D162" i="34"/>
  <c r="D161" i="34"/>
  <c r="D159" i="34"/>
  <c r="D158" i="34"/>
  <c r="D157" i="34"/>
  <c r="D156" i="34"/>
  <c r="D155" i="34"/>
  <c r="D158" i="23"/>
  <c r="D158" i="24" s="1"/>
  <c r="D158" i="27" s="1"/>
  <c r="D158" i="28" s="1"/>
  <c r="D164" i="23"/>
  <c r="D164" i="24" s="1"/>
  <c r="D164" i="27" s="1"/>
  <c r="D164" i="28" s="1"/>
  <c r="D163" i="23"/>
  <c r="D163" i="24" s="1"/>
  <c r="D163" i="27" s="1"/>
  <c r="D163" i="28" s="1"/>
  <c r="D162" i="23"/>
  <c r="D162" i="24" s="1"/>
  <c r="D162" i="27" s="1"/>
  <c r="D162" i="28" s="1"/>
  <c r="D161" i="23"/>
  <c r="D161" i="24" s="1"/>
  <c r="D161" i="27" s="1"/>
  <c r="D161" i="28" s="1"/>
  <c r="D160" i="23"/>
  <c r="D160" i="24" s="1"/>
  <c r="D160" i="27" s="1"/>
  <c r="D160" i="28" s="1"/>
  <c r="D159" i="23"/>
  <c r="D159" i="24" s="1"/>
  <c r="D159" i="27" s="1"/>
  <c r="D159" i="28" s="1"/>
  <c r="D157" i="23"/>
  <c r="D156" i="23"/>
  <c r="D155" i="23"/>
  <c r="D155" i="24" s="1"/>
  <c r="D155" i="27" s="1"/>
  <c r="D155" i="28" s="1"/>
  <c r="V157" i="34" l="1"/>
  <c r="V156" i="34"/>
  <c r="V159" i="34"/>
  <c r="V164" i="34"/>
  <c r="V160" i="34"/>
  <c r="V163" i="34"/>
  <c r="V158" i="34"/>
  <c r="V161" i="34"/>
  <c r="V162" i="34"/>
  <c r="F262" i="21"/>
  <c r="G262" i="21" s="1"/>
  <c r="H262" i="21" s="1"/>
  <c r="I262" i="21" s="1"/>
  <c r="F62" i="21" l="1"/>
  <c r="G62" i="21" s="1"/>
  <c r="H62" i="21" s="1"/>
  <c r="I62" i="21" s="1"/>
  <c r="F334" i="21"/>
  <c r="G334" i="21" s="1"/>
  <c r="H334" i="21" s="1"/>
  <c r="I334" i="21" s="1"/>
  <c r="F335" i="21"/>
  <c r="G335" i="21" s="1"/>
  <c r="H335" i="21" s="1"/>
  <c r="I335" i="21" s="1"/>
  <c r="F336" i="21"/>
  <c r="G336" i="21" s="1"/>
  <c r="H336" i="21" s="1"/>
  <c r="I336" i="21" s="1"/>
  <c r="F337" i="21"/>
  <c r="G337" i="21" s="1"/>
  <c r="H337" i="21" s="1"/>
  <c r="I337" i="21" s="1"/>
  <c r="F338" i="21"/>
  <c r="G338" i="21" s="1"/>
  <c r="H338" i="21" s="1"/>
  <c r="I338" i="21" s="1"/>
  <c r="F339" i="21"/>
  <c r="G339" i="21" s="1"/>
  <c r="H339" i="21" s="1"/>
  <c r="I339" i="21" s="1"/>
  <c r="F340" i="21"/>
  <c r="G340" i="21" s="1"/>
  <c r="H340" i="21" s="1"/>
  <c r="I340" i="21" s="1"/>
  <c r="F341" i="21"/>
  <c r="G341" i="21" s="1"/>
  <c r="H341" i="21" s="1"/>
  <c r="I341" i="21" s="1"/>
  <c r="F343" i="21"/>
  <c r="G343" i="21" s="1"/>
  <c r="H343" i="21" s="1"/>
  <c r="I343" i="21" s="1"/>
  <c r="F344" i="21"/>
  <c r="G344" i="21" s="1"/>
  <c r="H344" i="21" s="1"/>
  <c r="I344" i="21" s="1"/>
  <c r="F345" i="21"/>
  <c r="G345" i="21" s="1"/>
  <c r="H345" i="21" s="1"/>
  <c r="I345" i="21" s="1"/>
  <c r="F346" i="21"/>
  <c r="G346" i="21" s="1"/>
  <c r="H346" i="21" s="1"/>
  <c r="I346" i="21" s="1"/>
  <c r="F264" i="21"/>
  <c r="G264" i="21" s="1"/>
  <c r="H264" i="21" s="1"/>
  <c r="I264" i="21" s="1"/>
  <c r="F263" i="21"/>
  <c r="G263" i="21" s="1"/>
  <c r="H263" i="21" s="1"/>
  <c r="I263" i="21" s="1"/>
  <c r="F47" i="21"/>
  <c r="G47" i="21" s="1"/>
  <c r="H47" i="21" s="1"/>
  <c r="I47" i="21" s="1"/>
  <c r="AW13" i="23"/>
  <c r="AW13" i="24"/>
  <c r="AW13" i="27"/>
  <c r="AW13" i="28"/>
  <c r="AU70" i="23"/>
  <c r="AU70" i="24"/>
  <c r="AU70" i="27"/>
  <c r="AU70" i="28"/>
  <c r="AU70" i="1"/>
  <c r="AS70" i="1"/>
  <c r="AS70" i="24"/>
  <c r="AS70" i="27"/>
  <c r="AS70" i="28"/>
  <c r="AS70" i="23"/>
  <c r="C48" i="34"/>
  <c r="C49" i="34"/>
  <c r="C51" i="34"/>
  <c r="C52" i="34"/>
  <c r="C54" i="34"/>
  <c r="C55" i="34"/>
  <c r="C57" i="34"/>
  <c r="C58" i="34"/>
  <c r="C61" i="34"/>
  <c r="C63" i="34"/>
  <c r="C64" i="34"/>
  <c r="C46" i="34"/>
  <c r="F360" i="21"/>
  <c r="G360" i="21" s="1"/>
  <c r="H360" i="21" s="1"/>
  <c r="I360" i="21" s="1"/>
  <c r="F333" i="21"/>
  <c r="G333" i="21" s="1"/>
  <c r="H333" i="21" s="1"/>
  <c r="I333" i="21" s="1"/>
  <c r="F332" i="21"/>
  <c r="G332" i="21" s="1"/>
  <c r="H332" i="21" s="1"/>
  <c r="I332" i="21" s="1"/>
  <c r="F331" i="21"/>
  <c r="G331" i="21" s="1"/>
  <c r="H331" i="21" s="1"/>
  <c r="I331" i="21" s="1"/>
  <c r="F330" i="21"/>
  <c r="G330" i="21" s="1"/>
  <c r="H330" i="21" s="1"/>
  <c r="I330" i="21" s="1"/>
  <c r="F329" i="21"/>
  <c r="G329" i="21" s="1"/>
  <c r="H329" i="21" s="1"/>
  <c r="I329" i="21" s="1"/>
  <c r="F328" i="21"/>
  <c r="G328" i="21" s="1"/>
  <c r="H328" i="21" s="1"/>
  <c r="I328" i="21" s="1"/>
  <c r="F327" i="21"/>
  <c r="G327" i="21" s="1"/>
  <c r="H327" i="21" s="1"/>
  <c r="I327" i="21" s="1"/>
  <c r="F326" i="21"/>
  <c r="G326" i="21" s="1"/>
  <c r="H326" i="21" s="1"/>
  <c r="I326" i="21" s="1"/>
  <c r="F325" i="21"/>
  <c r="G325" i="21" s="1"/>
  <c r="H325" i="21" s="1"/>
  <c r="I325" i="21" s="1"/>
  <c r="F324" i="21"/>
  <c r="G324" i="21" s="1"/>
  <c r="H324" i="21" s="1"/>
  <c r="I324" i="21" s="1"/>
  <c r="F323" i="21"/>
  <c r="G323" i="21" s="1"/>
  <c r="H323" i="21" s="1"/>
  <c r="I323" i="21" s="1"/>
  <c r="F321" i="21"/>
  <c r="G321" i="21" s="1"/>
  <c r="H321" i="21" s="1"/>
  <c r="I321" i="21" s="1"/>
  <c r="F320" i="21"/>
  <c r="G320" i="21" s="1"/>
  <c r="H320" i="21" s="1"/>
  <c r="I320" i="21" s="1"/>
  <c r="F319" i="21"/>
  <c r="G319" i="21" s="1"/>
  <c r="H319" i="21" s="1"/>
  <c r="I319" i="21" s="1"/>
  <c r="F318" i="21"/>
  <c r="G318" i="21" s="1"/>
  <c r="H318" i="21" s="1"/>
  <c r="I318" i="21" s="1"/>
  <c r="F317" i="21"/>
  <c r="G317" i="21" s="1"/>
  <c r="H317" i="21" s="1"/>
  <c r="I317" i="21" s="1"/>
  <c r="F316" i="21"/>
  <c r="G316" i="21" s="1"/>
  <c r="H316" i="21" s="1"/>
  <c r="I316" i="21" s="1"/>
  <c r="F315" i="21"/>
  <c r="G315" i="21" s="1"/>
  <c r="H315" i="21" s="1"/>
  <c r="I315" i="21" s="1"/>
  <c r="F314" i="21"/>
  <c r="G314" i="21" s="1"/>
  <c r="H314" i="21" s="1"/>
  <c r="I314" i="21" s="1"/>
  <c r="F313" i="21"/>
  <c r="G313" i="21" s="1"/>
  <c r="H313" i="21" s="1"/>
  <c r="I313" i="21" s="1"/>
  <c r="F312" i="21"/>
  <c r="G312" i="21" s="1"/>
  <c r="H312" i="21" s="1"/>
  <c r="I312" i="21" s="1"/>
  <c r="F311" i="21"/>
  <c r="G311" i="21" s="1"/>
  <c r="H311" i="21" s="1"/>
  <c r="I311" i="21" s="1"/>
  <c r="F310" i="21"/>
  <c r="G310" i="21" s="1"/>
  <c r="H310" i="21" s="1"/>
  <c r="I310" i="21" s="1"/>
  <c r="F309" i="21"/>
  <c r="G309" i="21" s="1"/>
  <c r="H309" i="21" s="1"/>
  <c r="I309" i="21" s="1"/>
  <c r="F308" i="21"/>
  <c r="G308" i="21" s="1"/>
  <c r="H308" i="21" s="1"/>
  <c r="I308" i="21" s="1"/>
  <c r="F307" i="21"/>
  <c r="G307" i="21" s="1"/>
  <c r="H307" i="21" s="1"/>
  <c r="I307" i="21" s="1"/>
  <c r="F306" i="21"/>
  <c r="G306" i="21" s="1"/>
  <c r="H306" i="21" s="1"/>
  <c r="I306" i="21" s="1"/>
  <c r="F305" i="21"/>
  <c r="G305" i="21" s="1"/>
  <c r="H305" i="21" s="1"/>
  <c r="I305" i="21" s="1"/>
  <c r="F304" i="21"/>
  <c r="G304" i="21" s="1"/>
  <c r="H304" i="21" s="1"/>
  <c r="I304" i="21" s="1"/>
  <c r="F303" i="21"/>
  <c r="G303" i="21" s="1"/>
  <c r="H303" i="21" s="1"/>
  <c r="I303" i="21" s="1"/>
  <c r="F301" i="21"/>
  <c r="G301" i="21" s="1"/>
  <c r="H301" i="21" s="1"/>
  <c r="I301" i="21" s="1"/>
  <c r="F300" i="21"/>
  <c r="G300" i="21" s="1"/>
  <c r="H300" i="21" s="1"/>
  <c r="I300" i="21" s="1"/>
  <c r="F299" i="21"/>
  <c r="G299" i="21" s="1"/>
  <c r="H299" i="21" s="1"/>
  <c r="I299" i="21" s="1"/>
  <c r="F298" i="21"/>
  <c r="G298" i="21" s="1"/>
  <c r="H298" i="21" s="1"/>
  <c r="I298" i="21" s="1"/>
  <c r="F297" i="21"/>
  <c r="G297" i="21" s="1"/>
  <c r="H297" i="21" s="1"/>
  <c r="I297" i="21" s="1"/>
  <c r="F295" i="21"/>
  <c r="G295" i="21" s="1"/>
  <c r="H295" i="21" s="1"/>
  <c r="I295" i="21" s="1"/>
  <c r="F294" i="21"/>
  <c r="G294" i="21" s="1"/>
  <c r="H294" i="21" s="1"/>
  <c r="I294" i="21" s="1"/>
  <c r="F293" i="21"/>
  <c r="G293" i="21" s="1"/>
  <c r="H293" i="21" s="1"/>
  <c r="I293" i="21" s="1"/>
  <c r="F292" i="21"/>
  <c r="G292" i="21" s="1"/>
  <c r="H292" i="21" s="1"/>
  <c r="I292" i="21" s="1"/>
  <c r="F291" i="21"/>
  <c r="G291" i="21" s="1"/>
  <c r="H291" i="21" s="1"/>
  <c r="I291" i="21" s="1"/>
  <c r="F290" i="21"/>
  <c r="G290" i="21" s="1"/>
  <c r="H290" i="21" s="1"/>
  <c r="I290" i="21" s="1"/>
  <c r="F288" i="21"/>
  <c r="G288" i="21" s="1"/>
  <c r="H288" i="21" s="1"/>
  <c r="I288" i="21" s="1"/>
  <c r="F287" i="21"/>
  <c r="G287" i="21" s="1"/>
  <c r="H287" i="21" s="1"/>
  <c r="I287" i="21" s="1"/>
  <c r="F286" i="21"/>
  <c r="G286" i="21" s="1"/>
  <c r="H286" i="21" s="1"/>
  <c r="I286" i="21" s="1"/>
  <c r="F285" i="21"/>
  <c r="G285" i="21" s="1"/>
  <c r="H285" i="21" s="1"/>
  <c r="I285" i="21" s="1"/>
  <c r="F284" i="21"/>
  <c r="G284" i="21" s="1"/>
  <c r="H284" i="21" s="1"/>
  <c r="I284" i="21" s="1"/>
  <c r="F283" i="21"/>
  <c r="G283" i="21" s="1"/>
  <c r="H283" i="21" s="1"/>
  <c r="I283" i="21" s="1"/>
  <c r="F282" i="21"/>
  <c r="G282" i="21" s="1"/>
  <c r="H282" i="21" s="1"/>
  <c r="I282" i="21" s="1"/>
  <c r="F281" i="21"/>
  <c r="G281" i="21" s="1"/>
  <c r="H281" i="21" s="1"/>
  <c r="I281" i="21" s="1"/>
  <c r="F280" i="21"/>
  <c r="G280" i="21" s="1"/>
  <c r="H280" i="21" s="1"/>
  <c r="I280" i="21" s="1"/>
  <c r="F279" i="21"/>
  <c r="G279" i="21" s="1"/>
  <c r="H279" i="21" s="1"/>
  <c r="I279" i="21" s="1"/>
  <c r="F277" i="21"/>
  <c r="G277" i="21" s="1"/>
  <c r="H277" i="21" s="1"/>
  <c r="I277" i="21" s="1"/>
  <c r="F275" i="21"/>
  <c r="G275" i="21" s="1"/>
  <c r="H275" i="21" s="1"/>
  <c r="I275" i="21" s="1"/>
  <c r="F274" i="21"/>
  <c r="G274" i="21" s="1"/>
  <c r="H274" i="21" s="1"/>
  <c r="I274" i="21" s="1"/>
  <c r="F273" i="21"/>
  <c r="G273" i="21" s="1"/>
  <c r="H273" i="21" s="1"/>
  <c r="I273" i="21" s="1"/>
  <c r="F272" i="21"/>
  <c r="G272" i="21" s="1"/>
  <c r="H272" i="21" s="1"/>
  <c r="I272" i="21" s="1"/>
  <c r="F271" i="21"/>
  <c r="G271" i="21" s="1"/>
  <c r="H271" i="21" s="1"/>
  <c r="I271" i="21" s="1"/>
  <c r="F270" i="21"/>
  <c r="G270" i="21" s="1"/>
  <c r="H270" i="21" s="1"/>
  <c r="I270" i="21" s="1"/>
  <c r="F269" i="21"/>
  <c r="G269" i="21" s="1"/>
  <c r="H269" i="21" s="1"/>
  <c r="I269" i="21" s="1"/>
  <c r="F268" i="21"/>
  <c r="G268" i="21" s="1"/>
  <c r="H268" i="21" s="1"/>
  <c r="I268" i="21" s="1"/>
  <c r="F267" i="21"/>
  <c r="G267" i="21" s="1"/>
  <c r="H267" i="21" s="1"/>
  <c r="I267" i="21" s="1"/>
  <c r="F266" i="21"/>
  <c r="G266" i="21" s="1"/>
  <c r="H266" i="21" s="1"/>
  <c r="I266" i="21" s="1"/>
  <c r="F265" i="21"/>
  <c r="G265" i="21" s="1"/>
  <c r="H265" i="21" s="1"/>
  <c r="I265" i="21" s="1"/>
  <c r="F261" i="21"/>
  <c r="G261" i="21" s="1"/>
  <c r="H261" i="21" s="1"/>
  <c r="I261" i="21" s="1"/>
  <c r="F260" i="21"/>
  <c r="G260" i="21" s="1"/>
  <c r="H260" i="21" s="1"/>
  <c r="I260" i="21" s="1"/>
  <c r="F259" i="21"/>
  <c r="G259" i="21" s="1"/>
  <c r="H259" i="21" s="1"/>
  <c r="I259" i="21" s="1"/>
  <c r="F258" i="21"/>
  <c r="G258" i="21" s="1"/>
  <c r="H258" i="21" s="1"/>
  <c r="I258" i="21" s="1"/>
  <c r="F257" i="21"/>
  <c r="G257" i="21" s="1"/>
  <c r="H257" i="21" s="1"/>
  <c r="I257" i="21" s="1"/>
  <c r="F256" i="21"/>
  <c r="G256" i="21" s="1"/>
  <c r="H256" i="21" s="1"/>
  <c r="I256" i="21" s="1"/>
  <c r="F255" i="21"/>
  <c r="G255" i="21" s="1"/>
  <c r="H255" i="21" s="1"/>
  <c r="I255" i="21" s="1"/>
  <c r="F254" i="21"/>
  <c r="G254" i="21" s="1"/>
  <c r="H254" i="21" s="1"/>
  <c r="I254" i="21" s="1"/>
  <c r="F252" i="21"/>
  <c r="G252" i="21" s="1"/>
  <c r="H252" i="21" s="1"/>
  <c r="I252" i="21" s="1"/>
  <c r="F253" i="21"/>
  <c r="G253" i="21" s="1"/>
  <c r="H253" i="21" s="1"/>
  <c r="I253" i="21" s="1"/>
  <c r="F251" i="21"/>
  <c r="G251" i="21" s="1"/>
  <c r="H251" i="21" s="1"/>
  <c r="I251" i="21" s="1"/>
  <c r="F250" i="21"/>
  <c r="G250" i="21" s="1"/>
  <c r="H250" i="21" s="1"/>
  <c r="I250" i="21" s="1"/>
  <c r="F249" i="21"/>
  <c r="G249" i="21" s="1"/>
  <c r="H249" i="21" s="1"/>
  <c r="I249" i="21" s="1"/>
  <c r="F248" i="21"/>
  <c r="G248" i="21" s="1"/>
  <c r="H248" i="21" s="1"/>
  <c r="I248" i="21" s="1"/>
  <c r="F247" i="21"/>
  <c r="G247" i="21" s="1"/>
  <c r="H247" i="21" s="1"/>
  <c r="I247" i="21" s="1"/>
  <c r="F246" i="21"/>
  <c r="G246" i="21" s="1"/>
  <c r="H246" i="21" s="1"/>
  <c r="I246" i="21" s="1"/>
  <c r="F245" i="21"/>
  <c r="G245" i="21" s="1"/>
  <c r="H245" i="21" s="1"/>
  <c r="I245" i="21" s="1"/>
  <c r="F244" i="21"/>
  <c r="G244" i="21" s="1"/>
  <c r="H244" i="21" s="1"/>
  <c r="I244" i="21" s="1"/>
  <c r="F243" i="21"/>
  <c r="G243" i="21" s="1"/>
  <c r="H243" i="21" s="1"/>
  <c r="I243" i="21" s="1"/>
  <c r="F242" i="21"/>
  <c r="G242" i="21" s="1"/>
  <c r="H242" i="21" s="1"/>
  <c r="I242" i="21" s="1"/>
  <c r="F241" i="21"/>
  <c r="G241" i="21" s="1"/>
  <c r="H241" i="21" s="1"/>
  <c r="I241" i="21" s="1"/>
  <c r="F240" i="21"/>
  <c r="G240" i="21" s="1"/>
  <c r="H240" i="21" s="1"/>
  <c r="I240" i="21" s="1"/>
  <c r="F239" i="21"/>
  <c r="G239" i="21" s="1"/>
  <c r="H239" i="21" s="1"/>
  <c r="I239" i="21" s="1"/>
  <c r="F238" i="21"/>
  <c r="G238" i="21" s="1"/>
  <c r="H238" i="21" s="1"/>
  <c r="I238" i="21" s="1"/>
  <c r="F237" i="21"/>
  <c r="G237" i="21" s="1"/>
  <c r="H237" i="21" s="1"/>
  <c r="I237" i="21" s="1"/>
  <c r="F236" i="21"/>
  <c r="G236" i="21" s="1"/>
  <c r="H236" i="21" s="1"/>
  <c r="I236" i="21" s="1"/>
  <c r="F235" i="21"/>
  <c r="G235" i="21" s="1"/>
  <c r="H235" i="21" s="1"/>
  <c r="I235" i="21" s="1"/>
  <c r="F234" i="21"/>
  <c r="G234" i="21" s="1"/>
  <c r="H234" i="21" s="1"/>
  <c r="I234" i="21" s="1"/>
  <c r="F233" i="21"/>
  <c r="G233" i="21" s="1"/>
  <c r="H233" i="21" s="1"/>
  <c r="I233" i="21" s="1"/>
  <c r="F232" i="21"/>
  <c r="G232" i="21" s="1"/>
  <c r="H232" i="21" s="1"/>
  <c r="I232" i="21" s="1"/>
  <c r="F231" i="21"/>
  <c r="G231" i="21" s="1"/>
  <c r="H231" i="21" s="1"/>
  <c r="I231" i="21" s="1"/>
  <c r="F229" i="21"/>
  <c r="G229" i="21" s="1"/>
  <c r="H229" i="21" s="1"/>
  <c r="I229" i="21" s="1"/>
  <c r="F228" i="21"/>
  <c r="G228" i="21" s="1"/>
  <c r="H228" i="21" s="1"/>
  <c r="I228" i="21" s="1"/>
  <c r="F225" i="21"/>
  <c r="G225" i="21" s="1"/>
  <c r="H225" i="21" s="1"/>
  <c r="I225" i="21" s="1"/>
  <c r="F224" i="21"/>
  <c r="G224" i="21" s="1"/>
  <c r="H224" i="21" s="1"/>
  <c r="I224" i="21" s="1"/>
  <c r="F223" i="21"/>
  <c r="G223" i="21" s="1"/>
  <c r="H223" i="21" s="1"/>
  <c r="I223" i="21" s="1"/>
  <c r="F222" i="21"/>
  <c r="G222" i="21" s="1"/>
  <c r="H222" i="21" s="1"/>
  <c r="I222" i="21" s="1"/>
  <c r="F221" i="21"/>
  <c r="G221" i="21" s="1"/>
  <c r="H221" i="21" s="1"/>
  <c r="I221" i="21" s="1"/>
  <c r="F220" i="21"/>
  <c r="G220" i="21" s="1"/>
  <c r="H220" i="21" s="1"/>
  <c r="I220" i="21" s="1"/>
  <c r="F219" i="21"/>
  <c r="G219" i="21" s="1"/>
  <c r="H219" i="21" s="1"/>
  <c r="I219" i="21" s="1"/>
  <c r="F218" i="21"/>
  <c r="G218" i="21" s="1"/>
  <c r="H218" i="21" s="1"/>
  <c r="I218" i="21" s="1"/>
  <c r="F217" i="21"/>
  <c r="G217" i="21" s="1"/>
  <c r="H217" i="21" s="1"/>
  <c r="I217" i="21" s="1"/>
  <c r="F216" i="21"/>
  <c r="G216" i="21" s="1"/>
  <c r="H216" i="21" s="1"/>
  <c r="I216" i="21" s="1"/>
  <c r="F213" i="21"/>
  <c r="G213" i="21" s="1"/>
  <c r="H213" i="21" s="1"/>
  <c r="I213" i="21" s="1"/>
  <c r="F212" i="21"/>
  <c r="G212" i="21" s="1"/>
  <c r="H212" i="21" s="1"/>
  <c r="I212" i="21" s="1"/>
  <c r="F211" i="21"/>
  <c r="G211" i="21" s="1"/>
  <c r="H211" i="21" s="1"/>
  <c r="I211" i="21" s="1"/>
  <c r="F210" i="21"/>
  <c r="G210" i="21" s="1"/>
  <c r="H210" i="21" s="1"/>
  <c r="I210" i="21" s="1"/>
  <c r="F209" i="21"/>
  <c r="G209" i="21" s="1"/>
  <c r="H209" i="21" s="1"/>
  <c r="I209" i="21" s="1"/>
  <c r="F208" i="21"/>
  <c r="G208" i="21" s="1"/>
  <c r="H208" i="21" s="1"/>
  <c r="I208" i="21" s="1"/>
  <c r="F207" i="21"/>
  <c r="G207" i="21" s="1"/>
  <c r="H207" i="21" s="1"/>
  <c r="I207" i="21" s="1"/>
  <c r="F206" i="21"/>
  <c r="G206" i="21" s="1"/>
  <c r="H206" i="21" s="1"/>
  <c r="I206" i="21" s="1"/>
  <c r="F205" i="21"/>
  <c r="G205" i="21" s="1"/>
  <c r="H205" i="21" s="1"/>
  <c r="I205" i="21" s="1"/>
  <c r="F204" i="21"/>
  <c r="G204" i="21" s="1"/>
  <c r="H204" i="21" s="1"/>
  <c r="I204" i="21" s="1"/>
  <c r="F203" i="21"/>
  <c r="G203" i="21" s="1"/>
  <c r="H203" i="21" s="1"/>
  <c r="I203" i="21" s="1"/>
  <c r="F202" i="21"/>
  <c r="G202" i="21" s="1"/>
  <c r="H202" i="21" s="1"/>
  <c r="I202" i="21" s="1"/>
  <c r="F201" i="21"/>
  <c r="G201" i="21" s="1"/>
  <c r="H201" i="21" s="1"/>
  <c r="I201" i="21" s="1"/>
  <c r="F200" i="21"/>
  <c r="G200" i="21" s="1"/>
  <c r="H200" i="21" s="1"/>
  <c r="I200" i="21" s="1"/>
  <c r="F199" i="21"/>
  <c r="G199" i="21" s="1"/>
  <c r="H199" i="21" s="1"/>
  <c r="I199" i="21" s="1"/>
  <c r="F198" i="21"/>
  <c r="G198" i="21" s="1"/>
  <c r="H198" i="21" s="1"/>
  <c r="I198" i="21" s="1"/>
  <c r="F197" i="21"/>
  <c r="G197" i="21" s="1"/>
  <c r="H197" i="21" s="1"/>
  <c r="I197" i="21" s="1"/>
  <c r="F196" i="21"/>
  <c r="G196" i="21" s="1"/>
  <c r="H196" i="21" s="1"/>
  <c r="I196" i="21" s="1"/>
  <c r="F194" i="21"/>
  <c r="G194" i="21" s="1"/>
  <c r="H194" i="21" s="1"/>
  <c r="I194" i="21" s="1"/>
  <c r="F193" i="21"/>
  <c r="G193" i="21" s="1"/>
  <c r="H193" i="21" s="1"/>
  <c r="I193" i="21" s="1"/>
  <c r="F192" i="21"/>
  <c r="G192" i="21" s="1"/>
  <c r="H192" i="21" s="1"/>
  <c r="I192" i="21" s="1"/>
  <c r="F191" i="21"/>
  <c r="G191" i="21" s="1"/>
  <c r="H191" i="21" s="1"/>
  <c r="I191" i="21" s="1"/>
  <c r="F190" i="21"/>
  <c r="G190" i="21" s="1"/>
  <c r="H190" i="21" s="1"/>
  <c r="I190" i="21" s="1"/>
  <c r="F189" i="21"/>
  <c r="G189" i="21" s="1"/>
  <c r="H189" i="21" s="1"/>
  <c r="I189" i="21" s="1"/>
  <c r="F188" i="21"/>
  <c r="G188" i="21" s="1"/>
  <c r="H188" i="21" s="1"/>
  <c r="I188" i="21" s="1"/>
  <c r="F187" i="21"/>
  <c r="G187" i="21" s="1"/>
  <c r="H187" i="21" s="1"/>
  <c r="I187" i="21" s="1"/>
  <c r="F186" i="21"/>
  <c r="G186" i="21" s="1"/>
  <c r="H186" i="21" s="1"/>
  <c r="I186" i="21" s="1"/>
  <c r="F185" i="21"/>
  <c r="G185" i="21" s="1"/>
  <c r="H185" i="21" s="1"/>
  <c r="I185" i="21" s="1"/>
  <c r="F184" i="21"/>
  <c r="G184" i="21" s="1"/>
  <c r="H184" i="21" s="1"/>
  <c r="I184" i="21" s="1"/>
  <c r="F183" i="21"/>
  <c r="G183" i="21" s="1"/>
  <c r="H183" i="21" s="1"/>
  <c r="I183" i="21" s="1"/>
  <c r="F182" i="21"/>
  <c r="G182" i="21" s="1"/>
  <c r="H182" i="21" s="1"/>
  <c r="I182" i="21" s="1"/>
  <c r="F181" i="21"/>
  <c r="G181" i="21" s="1"/>
  <c r="H181" i="21" s="1"/>
  <c r="I181" i="21" s="1"/>
  <c r="F180" i="21"/>
  <c r="G180" i="21" s="1"/>
  <c r="H180" i="21" s="1"/>
  <c r="I180" i="21" s="1"/>
  <c r="F179" i="21"/>
  <c r="G179" i="21" s="1"/>
  <c r="H179" i="21" s="1"/>
  <c r="I179" i="21" s="1"/>
  <c r="F178" i="21"/>
  <c r="G178" i="21" s="1"/>
  <c r="H178" i="21" s="1"/>
  <c r="I178" i="21" s="1"/>
  <c r="F177" i="21"/>
  <c r="G177" i="21" s="1"/>
  <c r="H177" i="21" s="1"/>
  <c r="I177" i="21" s="1"/>
  <c r="F176" i="21"/>
  <c r="G176" i="21" s="1"/>
  <c r="H176" i="21" s="1"/>
  <c r="I176" i="21" s="1"/>
  <c r="F175" i="21"/>
  <c r="G175" i="21" s="1"/>
  <c r="H175" i="21" s="1"/>
  <c r="I175" i="21" s="1"/>
  <c r="F174" i="21"/>
  <c r="G174" i="21" s="1"/>
  <c r="H174" i="21" s="1"/>
  <c r="I174" i="21" s="1"/>
  <c r="F173" i="21"/>
  <c r="G173" i="21" s="1"/>
  <c r="H173" i="21" s="1"/>
  <c r="I173" i="21" s="1"/>
  <c r="F172" i="21"/>
  <c r="G172" i="21" s="1"/>
  <c r="H172" i="21" s="1"/>
  <c r="I172" i="21" s="1"/>
  <c r="F171" i="21"/>
  <c r="G171" i="21" s="1"/>
  <c r="H171" i="21" s="1"/>
  <c r="I171" i="21" s="1"/>
  <c r="F170" i="21"/>
  <c r="G170" i="21" s="1"/>
  <c r="H170" i="21" s="1"/>
  <c r="I170" i="21" s="1"/>
  <c r="F169" i="21"/>
  <c r="G169" i="21" s="1"/>
  <c r="H169" i="21" s="1"/>
  <c r="I169" i="21" s="1"/>
  <c r="F167" i="21"/>
  <c r="G167" i="21" s="1"/>
  <c r="H167" i="21" s="1"/>
  <c r="I167" i="21" s="1"/>
  <c r="F166" i="21"/>
  <c r="G166" i="21" s="1"/>
  <c r="H166" i="21" s="1"/>
  <c r="I166" i="21" s="1"/>
  <c r="F165" i="21"/>
  <c r="G165" i="21" s="1"/>
  <c r="H165" i="21" s="1"/>
  <c r="I165" i="21" s="1"/>
  <c r="F164" i="21"/>
  <c r="G164" i="21" s="1"/>
  <c r="H164" i="21" s="1"/>
  <c r="I164" i="21" s="1"/>
  <c r="F163" i="21"/>
  <c r="G163" i="21" s="1"/>
  <c r="H163" i="21" s="1"/>
  <c r="I163" i="21" s="1"/>
  <c r="F162" i="21"/>
  <c r="G162" i="21" s="1"/>
  <c r="H162" i="21" s="1"/>
  <c r="I162" i="21" s="1"/>
  <c r="F161" i="21"/>
  <c r="G161" i="21" s="1"/>
  <c r="H161" i="21" s="1"/>
  <c r="I161" i="21" s="1"/>
  <c r="F160" i="21"/>
  <c r="G160" i="21" s="1"/>
  <c r="H160" i="21" s="1"/>
  <c r="I160" i="21" s="1"/>
  <c r="F159" i="21"/>
  <c r="G159" i="21" s="1"/>
  <c r="H159" i="21" s="1"/>
  <c r="I159" i="21" s="1"/>
  <c r="F158" i="21"/>
  <c r="G158" i="21" s="1"/>
  <c r="H158" i="21" s="1"/>
  <c r="I158" i="21" s="1"/>
  <c r="F157" i="21"/>
  <c r="G157" i="21" s="1"/>
  <c r="H157" i="21" s="1"/>
  <c r="I157" i="21" s="1"/>
  <c r="F156" i="21"/>
  <c r="G156" i="21" s="1"/>
  <c r="H156" i="21" s="1"/>
  <c r="I156" i="21" s="1"/>
  <c r="F155" i="21"/>
  <c r="G155" i="21" s="1"/>
  <c r="H155" i="21" s="1"/>
  <c r="I155" i="21" s="1"/>
  <c r="F154" i="21"/>
  <c r="G154" i="21" s="1"/>
  <c r="H154" i="21" s="1"/>
  <c r="I154" i="21" s="1"/>
  <c r="F153" i="21"/>
  <c r="G153" i="21" s="1"/>
  <c r="H153" i="21" s="1"/>
  <c r="I153" i="21" s="1"/>
  <c r="F152" i="21"/>
  <c r="G152" i="21" s="1"/>
  <c r="H152" i="21" s="1"/>
  <c r="I152" i="21" s="1"/>
  <c r="F151" i="21"/>
  <c r="G151" i="21" s="1"/>
  <c r="H151" i="21" s="1"/>
  <c r="I151" i="21" s="1"/>
  <c r="F150" i="21"/>
  <c r="G150" i="21" s="1"/>
  <c r="H150" i="21" s="1"/>
  <c r="I150" i="21" s="1"/>
  <c r="F149" i="21"/>
  <c r="G149" i="21" s="1"/>
  <c r="H149" i="21" s="1"/>
  <c r="I149" i="21" s="1"/>
  <c r="F148" i="21"/>
  <c r="G148" i="21" s="1"/>
  <c r="H148" i="21" s="1"/>
  <c r="I148" i="21" s="1"/>
  <c r="F146" i="21"/>
  <c r="G146" i="21" s="1"/>
  <c r="H146" i="21" s="1"/>
  <c r="I146" i="21" s="1"/>
  <c r="F145" i="21"/>
  <c r="G145" i="21" s="1"/>
  <c r="H145" i="21" s="1"/>
  <c r="I145" i="21" s="1"/>
  <c r="F144" i="21"/>
  <c r="G144" i="21" s="1"/>
  <c r="H144" i="21" s="1"/>
  <c r="I144" i="21" s="1"/>
  <c r="F143" i="21"/>
  <c r="G143" i="21" s="1"/>
  <c r="H143" i="21" s="1"/>
  <c r="I143" i="21" s="1"/>
  <c r="F142" i="21"/>
  <c r="G142" i="21" s="1"/>
  <c r="H142" i="21" s="1"/>
  <c r="I142" i="21" s="1"/>
  <c r="F141" i="21"/>
  <c r="G141" i="21" s="1"/>
  <c r="H141" i="21" s="1"/>
  <c r="I141" i="21" s="1"/>
  <c r="F140" i="21"/>
  <c r="G140" i="21" s="1"/>
  <c r="H140" i="21" s="1"/>
  <c r="I140" i="21" s="1"/>
  <c r="F139" i="21"/>
  <c r="G139" i="21" s="1"/>
  <c r="H139" i="21" s="1"/>
  <c r="I139" i="21" s="1"/>
  <c r="F138" i="21"/>
  <c r="G138" i="21" s="1"/>
  <c r="H138" i="21" s="1"/>
  <c r="I138" i="21" s="1"/>
  <c r="F137" i="21"/>
  <c r="G137" i="21" s="1"/>
  <c r="H137" i="21" s="1"/>
  <c r="I137" i="21" s="1"/>
  <c r="F135" i="21"/>
  <c r="G135" i="21" s="1"/>
  <c r="H135" i="21" s="1"/>
  <c r="I135" i="21" s="1"/>
  <c r="F134" i="21"/>
  <c r="G134" i="21" s="1"/>
  <c r="H134" i="21" s="1"/>
  <c r="I134" i="21" s="1"/>
  <c r="F133" i="21"/>
  <c r="G133" i="21" s="1"/>
  <c r="H133" i="21" s="1"/>
  <c r="I133" i="21" s="1"/>
  <c r="F132" i="21"/>
  <c r="G132" i="21" s="1"/>
  <c r="H132" i="21" s="1"/>
  <c r="I132" i="21" s="1"/>
  <c r="F131" i="21"/>
  <c r="G131" i="21" s="1"/>
  <c r="H131" i="21" s="1"/>
  <c r="I131" i="21" s="1"/>
  <c r="F130" i="21"/>
  <c r="G130" i="21" s="1"/>
  <c r="H130" i="21" s="1"/>
  <c r="I130" i="21" s="1"/>
  <c r="F129" i="21"/>
  <c r="G129" i="21" s="1"/>
  <c r="H129" i="21" s="1"/>
  <c r="I129" i="21" s="1"/>
  <c r="F128" i="21"/>
  <c r="G128" i="21" s="1"/>
  <c r="H128" i="21" s="1"/>
  <c r="I128" i="21" s="1"/>
  <c r="F127" i="21"/>
  <c r="G127" i="21" s="1"/>
  <c r="H127" i="21" s="1"/>
  <c r="I127" i="21" s="1"/>
  <c r="F126" i="21"/>
  <c r="G126" i="21" s="1"/>
  <c r="H126" i="21" s="1"/>
  <c r="I126" i="21" s="1"/>
  <c r="F125" i="21"/>
  <c r="G125" i="21" s="1"/>
  <c r="H125" i="21" s="1"/>
  <c r="I125" i="21" s="1"/>
  <c r="F124" i="21"/>
  <c r="G124" i="21" s="1"/>
  <c r="H124" i="21" s="1"/>
  <c r="I124" i="21" s="1"/>
  <c r="F123" i="21"/>
  <c r="G123" i="21" s="1"/>
  <c r="H123" i="21" s="1"/>
  <c r="I123" i="21" s="1"/>
  <c r="F122" i="21"/>
  <c r="G122" i="21" s="1"/>
  <c r="H122" i="21" s="1"/>
  <c r="I122" i="21" s="1"/>
  <c r="F121" i="21"/>
  <c r="G121" i="21" s="1"/>
  <c r="H121" i="21" s="1"/>
  <c r="I121" i="21" s="1"/>
  <c r="F120" i="21"/>
  <c r="G120" i="21" s="1"/>
  <c r="H120" i="21" s="1"/>
  <c r="I120" i="21" s="1"/>
  <c r="F118" i="21"/>
  <c r="G118" i="21" s="1"/>
  <c r="H118" i="21" s="1"/>
  <c r="I118" i="21" s="1"/>
  <c r="F117" i="21"/>
  <c r="G117" i="21" s="1"/>
  <c r="H117" i="21" s="1"/>
  <c r="I117" i="21" s="1"/>
  <c r="F115" i="21"/>
  <c r="G115" i="21" s="1"/>
  <c r="H115" i="21" s="1"/>
  <c r="I115" i="21" s="1"/>
  <c r="F114" i="21"/>
  <c r="G114" i="21" s="1"/>
  <c r="H114" i="21" s="1"/>
  <c r="I114" i="21" s="1"/>
  <c r="F113" i="21"/>
  <c r="G113" i="21" s="1"/>
  <c r="H113" i="21" s="1"/>
  <c r="I113" i="21" s="1"/>
  <c r="F112" i="21"/>
  <c r="G112" i="21" s="1"/>
  <c r="H112" i="21" s="1"/>
  <c r="I112" i="21" s="1"/>
  <c r="F111" i="21"/>
  <c r="G111" i="21" s="1"/>
  <c r="H111" i="21" s="1"/>
  <c r="I111" i="21" s="1"/>
  <c r="F110" i="21"/>
  <c r="G110" i="21" s="1"/>
  <c r="H110" i="21" s="1"/>
  <c r="I110" i="21" s="1"/>
  <c r="F109" i="21"/>
  <c r="G109" i="21" s="1"/>
  <c r="H109" i="21" s="1"/>
  <c r="I109" i="21" s="1"/>
  <c r="F108" i="21"/>
  <c r="G108" i="21" s="1"/>
  <c r="H108" i="21" s="1"/>
  <c r="I108" i="21" s="1"/>
  <c r="F107" i="21"/>
  <c r="G107" i="21" s="1"/>
  <c r="H107" i="21" s="1"/>
  <c r="I107" i="21" s="1"/>
  <c r="F106" i="21"/>
  <c r="G106" i="21" s="1"/>
  <c r="H106" i="21" s="1"/>
  <c r="I106" i="21" s="1"/>
  <c r="F105" i="21"/>
  <c r="G105" i="21" s="1"/>
  <c r="H105" i="21" s="1"/>
  <c r="I105" i="21" s="1"/>
  <c r="F104" i="21"/>
  <c r="G104" i="21" s="1"/>
  <c r="H104" i="21" s="1"/>
  <c r="I104" i="21" s="1"/>
  <c r="F103" i="21"/>
  <c r="G103" i="21" s="1"/>
  <c r="H103" i="21" s="1"/>
  <c r="I103" i="21" s="1"/>
  <c r="F102" i="21"/>
  <c r="G102" i="21" s="1"/>
  <c r="H102" i="21" s="1"/>
  <c r="I102" i="21" s="1"/>
  <c r="F101" i="21"/>
  <c r="G101" i="21" s="1"/>
  <c r="H101" i="21" s="1"/>
  <c r="I101" i="21" s="1"/>
  <c r="F100" i="21"/>
  <c r="G100" i="21" s="1"/>
  <c r="H100" i="21" s="1"/>
  <c r="I100" i="21" s="1"/>
  <c r="F99" i="21"/>
  <c r="G99" i="21" s="1"/>
  <c r="H99" i="21" s="1"/>
  <c r="I99" i="21" s="1"/>
  <c r="F97" i="21"/>
  <c r="G97" i="21" s="1"/>
  <c r="H97" i="21" s="1"/>
  <c r="I97" i="21" s="1"/>
  <c r="F98" i="21"/>
  <c r="G98" i="21" s="1"/>
  <c r="H98" i="21" s="1"/>
  <c r="I98" i="21" s="1"/>
  <c r="F96" i="21"/>
  <c r="G96" i="21" s="1"/>
  <c r="H96" i="21" s="1"/>
  <c r="I96" i="21" s="1"/>
  <c r="F95" i="21"/>
  <c r="G95" i="21" s="1"/>
  <c r="H95" i="21" s="1"/>
  <c r="I95" i="21" s="1"/>
  <c r="F94" i="21"/>
  <c r="G94" i="21" s="1"/>
  <c r="H94" i="21" s="1"/>
  <c r="I94" i="21" s="1"/>
  <c r="F93" i="21"/>
  <c r="G93" i="21" s="1"/>
  <c r="H93" i="21" s="1"/>
  <c r="I93" i="21" s="1"/>
  <c r="F92" i="21"/>
  <c r="G92" i="21" s="1"/>
  <c r="H92" i="21" s="1"/>
  <c r="I92" i="21" s="1"/>
  <c r="F91" i="21"/>
  <c r="G91" i="21" s="1"/>
  <c r="H91" i="21" s="1"/>
  <c r="I91" i="21" s="1"/>
  <c r="F90" i="21"/>
  <c r="G90" i="21" s="1"/>
  <c r="H90" i="21" s="1"/>
  <c r="I90" i="21" s="1"/>
  <c r="F89" i="21"/>
  <c r="G89" i="21" s="1"/>
  <c r="H89" i="21" s="1"/>
  <c r="I89" i="21" s="1"/>
  <c r="F88" i="21"/>
  <c r="G88" i="21" s="1"/>
  <c r="H88" i="21" s="1"/>
  <c r="I88" i="21" s="1"/>
  <c r="F87" i="21"/>
  <c r="G87" i="21" s="1"/>
  <c r="H87" i="21" s="1"/>
  <c r="I87" i="21" s="1"/>
  <c r="F86" i="21"/>
  <c r="G86" i="21" s="1"/>
  <c r="H86" i="21" s="1"/>
  <c r="I86" i="21" s="1"/>
  <c r="F85" i="21"/>
  <c r="G85" i="21" s="1"/>
  <c r="H85" i="21" s="1"/>
  <c r="I85" i="21" s="1"/>
  <c r="F84" i="21"/>
  <c r="G84" i="21" s="1"/>
  <c r="H84" i="21" s="1"/>
  <c r="I84" i="21" s="1"/>
  <c r="F83" i="21"/>
  <c r="G83" i="21" s="1"/>
  <c r="H83" i="21" s="1"/>
  <c r="I83" i="21" s="1"/>
  <c r="F82" i="21"/>
  <c r="G82" i="21" s="1"/>
  <c r="H82" i="21" s="1"/>
  <c r="I82" i="21" s="1"/>
  <c r="F81" i="21"/>
  <c r="G81" i="21" s="1"/>
  <c r="H81" i="21" s="1"/>
  <c r="I81" i="21" s="1"/>
  <c r="F80" i="21"/>
  <c r="G80" i="21" s="1"/>
  <c r="H80" i="21" s="1"/>
  <c r="I80" i="21" s="1"/>
  <c r="F78" i="21"/>
  <c r="G78" i="21" s="1"/>
  <c r="H78" i="21" s="1"/>
  <c r="I78" i="21" s="1"/>
  <c r="F77" i="21"/>
  <c r="G77" i="21" s="1"/>
  <c r="H77" i="21" s="1"/>
  <c r="I77" i="21" s="1"/>
  <c r="F76" i="21"/>
  <c r="G76" i="21" s="1"/>
  <c r="H76" i="21" s="1"/>
  <c r="I76" i="21" s="1"/>
  <c r="F75" i="21"/>
  <c r="G75" i="21" s="1"/>
  <c r="H75" i="21" s="1"/>
  <c r="I75" i="21" s="1"/>
  <c r="F74" i="21"/>
  <c r="G74" i="21" s="1"/>
  <c r="H74" i="21" s="1"/>
  <c r="I74" i="21" s="1"/>
  <c r="G73" i="21"/>
  <c r="H73" i="21" s="1"/>
  <c r="I73" i="21" s="1"/>
  <c r="F72" i="21"/>
  <c r="G72" i="21" s="1"/>
  <c r="H72" i="21" s="1"/>
  <c r="I72" i="21" s="1"/>
  <c r="F71" i="21"/>
  <c r="G71" i="21" s="1"/>
  <c r="H71" i="21" s="1"/>
  <c r="I71" i="21" s="1"/>
  <c r="F70" i="21"/>
  <c r="G70" i="21" s="1"/>
  <c r="H70" i="21" s="1"/>
  <c r="I70" i="21" s="1"/>
  <c r="F69" i="21"/>
  <c r="G69" i="21" s="1"/>
  <c r="H69" i="21" s="1"/>
  <c r="I69" i="21" s="1"/>
  <c r="F68" i="21"/>
  <c r="G68" i="21" s="1"/>
  <c r="H68" i="21" s="1"/>
  <c r="I68" i="21" s="1"/>
  <c r="F66" i="21"/>
  <c r="G66" i="21" s="1"/>
  <c r="H66" i="21" s="1"/>
  <c r="I66" i="21" s="1"/>
  <c r="F67" i="21"/>
  <c r="G67" i="21" s="1"/>
  <c r="H67" i="21" s="1"/>
  <c r="I67" i="21" s="1"/>
  <c r="F65" i="21"/>
  <c r="G65" i="21" s="1"/>
  <c r="H65" i="21" s="1"/>
  <c r="I65" i="21" s="1"/>
  <c r="F64" i="21"/>
  <c r="G64" i="21" s="1"/>
  <c r="H64" i="21" s="1"/>
  <c r="I64" i="21" s="1"/>
  <c r="F63" i="21"/>
  <c r="G63" i="21" s="1"/>
  <c r="H63" i="21" s="1"/>
  <c r="I63" i="21" s="1"/>
  <c r="F61" i="21"/>
  <c r="G61" i="21" s="1"/>
  <c r="H61" i="21" s="1"/>
  <c r="I61" i="21" s="1"/>
  <c r="F60" i="21"/>
  <c r="G60" i="21" s="1"/>
  <c r="H60" i="21" s="1"/>
  <c r="I60" i="21" s="1"/>
  <c r="F59" i="21"/>
  <c r="G59" i="21" s="1"/>
  <c r="H59" i="21" s="1"/>
  <c r="I59" i="21" s="1"/>
  <c r="F58" i="21"/>
  <c r="G58" i="21" s="1"/>
  <c r="H58" i="21" s="1"/>
  <c r="I58" i="21" s="1"/>
  <c r="F57" i="21"/>
  <c r="G57" i="21" s="1"/>
  <c r="H57" i="21" s="1"/>
  <c r="I57" i="21" s="1"/>
  <c r="F56" i="21"/>
  <c r="G56" i="21" s="1"/>
  <c r="H56" i="21" s="1"/>
  <c r="I56" i="21" s="1"/>
  <c r="F55" i="21"/>
  <c r="G55" i="21" s="1"/>
  <c r="H55" i="21" s="1"/>
  <c r="I55" i="21" s="1"/>
  <c r="F54" i="21"/>
  <c r="G54" i="21" s="1"/>
  <c r="H54" i="21" s="1"/>
  <c r="I54" i="21" s="1"/>
  <c r="F53" i="21"/>
  <c r="G53" i="21" s="1"/>
  <c r="H53" i="21" s="1"/>
  <c r="I53" i="21" s="1"/>
  <c r="F51" i="21"/>
  <c r="G51" i="21" s="1"/>
  <c r="H51" i="21" s="1"/>
  <c r="I51" i="21" s="1"/>
  <c r="F50" i="21"/>
  <c r="G50" i="21" s="1"/>
  <c r="H50" i="21" s="1"/>
  <c r="I50" i="21" s="1"/>
  <c r="F48" i="21"/>
  <c r="G48" i="21" s="1"/>
  <c r="H48" i="21" s="1"/>
  <c r="I48" i="21" s="1"/>
  <c r="F46" i="21"/>
  <c r="G46" i="21" s="1"/>
  <c r="H46" i="21" s="1"/>
  <c r="I46" i="21" s="1"/>
  <c r="F44" i="21"/>
  <c r="G44" i="21" s="1"/>
  <c r="H44" i="21" s="1"/>
  <c r="I44" i="21" s="1"/>
  <c r="F43" i="21"/>
  <c r="G43" i="21" s="1"/>
  <c r="H43" i="21" s="1"/>
  <c r="I43" i="21" s="1"/>
  <c r="F42" i="21"/>
  <c r="G42" i="21" s="1"/>
  <c r="H42" i="21" s="1"/>
  <c r="I42" i="21" s="1"/>
  <c r="F41" i="21"/>
  <c r="G41" i="21" s="1"/>
  <c r="H41" i="21" s="1"/>
  <c r="I41" i="21" s="1"/>
  <c r="F40" i="21"/>
  <c r="G40" i="21" s="1"/>
  <c r="H40" i="21" s="1"/>
  <c r="I40" i="21" s="1"/>
  <c r="F39" i="21"/>
  <c r="G39" i="21" s="1"/>
  <c r="H39" i="21" s="1"/>
  <c r="I39" i="21" s="1"/>
  <c r="F38" i="21"/>
  <c r="G38" i="21" s="1"/>
  <c r="H38" i="21" s="1"/>
  <c r="I38" i="21" s="1"/>
  <c r="F37" i="21"/>
  <c r="G37" i="21" s="1"/>
  <c r="H37" i="21" s="1"/>
  <c r="I37" i="21" s="1"/>
  <c r="F36" i="21"/>
  <c r="G36" i="21" s="1"/>
  <c r="H36" i="21" s="1"/>
  <c r="I36" i="21" s="1"/>
  <c r="F35" i="21"/>
  <c r="G35" i="21" s="1"/>
  <c r="H35" i="21" s="1"/>
  <c r="I35" i="21" s="1"/>
  <c r="F34" i="21"/>
  <c r="G34" i="21" s="1"/>
  <c r="H34" i="21" s="1"/>
  <c r="I34" i="21" s="1"/>
  <c r="F33" i="21"/>
  <c r="G33" i="21" s="1"/>
  <c r="H33" i="21" s="1"/>
  <c r="I33" i="21" s="1"/>
  <c r="F31" i="21"/>
  <c r="G31" i="21" s="1"/>
  <c r="H31" i="21" s="1"/>
  <c r="I31" i="21" s="1"/>
  <c r="F32" i="21"/>
  <c r="G32" i="21" s="1"/>
  <c r="H32" i="21" s="1"/>
  <c r="I32" i="21" s="1"/>
  <c r="F30" i="21"/>
  <c r="G30" i="21" s="1"/>
  <c r="H30" i="21" s="1"/>
  <c r="I30" i="21" s="1"/>
  <c r="F29" i="21"/>
  <c r="G29" i="21" s="1"/>
  <c r="H29" i="21" s="1"/>
  <c r="I29" i="21" s="1"/>
  <c r="F28" i="21"/>
  <c r="G28" i="21" s="1"/>
  <c r="H28" i="21" s="1"/>
  <c r="I28" i="21" s="1"/>
  <c r="F27" i="21"/>
  <c r="G27" i="21" s="1"/>
  <c r="H27" i="21" s="1"/>
  <c r="I27" i="21" s="1"/>
  <c r="F25" i="21"/>
  <c r="G25" i="21" s="1"/>
  <c r="H25" i="21" s="1"/>
  <c r="I25" i="21" s="1"/>
  <c r="F24" i="21"/>
  <c r="G24" i="21" s="1"/>
  <c r="H24" i="21" s="1"/>
  <c r="I24" i="21" s="1"/>
  <c r="F23" i="21"/>
  <c r="G23" i="21" s="1"/>
  <c r="H23" i="21" s="1"/>
  <c r="I23" i="21" s="1"/>
  <c r="F22" i="21"/>
  <c r="G22" i="21" s="1"/>
  <c r="H22" i="21" s="1"/>
  <c r="I22" i="21" s="1"/>
  <c r="F20" i="21"/>
  <c r="G20" i="21" s="1"/>
  <c r="H20" i="21" s="1"/>
  <c r="I20" i="21" s="1"/>
  <c r="F19" i="21"/>
  <c r="G19" i="21" s="1"/>
  <c r="H19" i="21" s="1"/>
  <c r="I19" i="21" s="1"/>
  <c r="F18" i="21"/>
  <c r="G18" i="21" s="1"/>
  <c r="H18" i="21" s="1"/>
  <c r="I18" i="21" s="1"/>
  <c r="F17" i="21"/>
  <c r="G17" i="21" s="1"/>
  <c r="H17" i="21" s="1"/>
  <c r="I17" i="21" s="1"/>
  <c r="F16" i="21"/>
  <c r="G16" i="21" s="1"/>
  <c r="H16" i="21" s="1"/>
  <c r="I16" i="21" s="1"/>
  <c r="F15" i="21"/>
  <c r="G15" i="21" s="1"/>
  <c r="H15" i="21" s="1"/>
  <c r="I15" i="21" s="1"/>
  <c r="F14" i="21"/>
  <c r="G14" i="21" s="1"/>
  <c r="H14" i="21" s="1"/>
  <c r="I14" i="21" s="1"/>
  <c r="F13" i="21"/>
  <c r="G13" i="21" s="1"/>
  <c r="H13" i="21" s="1"/>
  <c r="I13" i="21" s="1"/>
  <c r="F12" i="21"/>
  <c r="G12" i="21" s="1"/>
  <c r="H12" i="21" s="1"/>
  <c r="I12" i="21" s="1"/>
  <c r="F11" i="21"/>
  <c r="G11" i="21" s="1"/>
  <c r="H11" i="21" s="1"/>
  <c r="I11" i="21" s="1"/>
  <c r="F10" i="21"/>
  <c r="G10" i="21" s="1"/>
  <c r="H10" i="21" s="1"/>
  <c r="I10" i="21" s="1"/>
  <c r="F9" i="21"/>
  <c r="G9" i="21" s="1"/>
  <c r="H9" i="21" s="1"/>
  <c r="I9" i="21" s="1"/>
  <c r="F8" i="21"/>
  <c r="G8" i="21" s="1"/>
  <c r="H8" i="21" s="1"/>
  <c r="I8" i="21" s="1"/>
  <c r="F7" i="21"/>
  <c r="G7" i="21" s="1"/>
  <c r="H7" i="21" s="1"/>
  <c r="I7" i="21" s="1"/>
  <c r="F6" i="21"/>
  <c r="G6" i="21" s="1"/>
  <c r="H6" i="21" s="1"/>
  <c r="I6" i="21" s="1"/>
  <c r="G5" i="21"/>
  <c r="H5" i="21" s="1"/>
  <c r="I5" i="21" s="1"/>
  <c r="F4" i="21"/>
  <c r="G4" i="21" s="1"/>
  <c r="H4" i="21" s="1"/>
  <c r="I4" i="21" s="1"/>
  <c r="F3" i="21"/>
  <c r="G3" i="21" s="1"/>
  <c r="H3" i="21" s="1"/>
  <c r="I3" i="21" s="1"/>
  <c r="F2" i="21"/>
  <c r="G2" i="21" s="1"/>
  <c r="H2" i="21" s="1"/>
  <c r="I2" i="21" s="1"/>
  <c r="D22" i="23"/>
  <c r="L22" i="23"/>
  <c r="L22" i="24" s="1"/>
  <c r="AL22" i="24" s="1"/>
  <c r="N22" i="23"/>
  <c r="N22" i="24" s="1"/>
  <c r="AN22" i="24" s="1"/>
  <c r="F366" i="21"/>
  <c r="G366" i="21" s="1"/>
  <c r="F22" i="1"/>
  <c r="AC22" i="1" s="1"/>
  <c r="AY22" i="1" s="1"/>
  <c r="F19" i="1"/>
  <c r="Q19" i="1" s="1"/>
  <c r="AH19" i="1" s="1"/>
  <c r="F16" i="1"/>
  <c r="AC16" i="1" s="1"/>
  <c r="AD17" i="1" s="1"/>
  <c r="BE17" i="1" s="1"/>
  <c r="F365" i="21"/>
  <c r="G365" i="21" s="1"/>
  <c r="H365" i="21" s="1"/>
  <c r="F357" i="21"/>
  <c r="G357" i="21" s="1"/>
  <c r="H357" i="21" s="1"/>
  <c r="I357" i="21" s="1"/>
  <c r="F362" i="21"/>
  <c r="G362" i="21" s="1"/>
  <c r="H362" i="21" s="1"/>
  <c r="I362" i="21" s="1"/>
  <c r="F361" i="21"/>
  <c r="G361" i="21" s="1"/>
  <c r="H361" i="21" s="1"/>
  <c r="I361" i="21" s="1"/>
  <c r="F359" i="21"/>
  <c r="G359" i="21" s="1"/>
  <c r="H359" i="21" s="1"/>
  <c r="I359" i="21" s="1"/>
  <c r="F25" i="1"/>
  <c r="P25" i="1" s="1"/>
  <c r="F84" i="23"/>
  <c r="F84" i="24" s="1"/>
  <c r="P84" i="24" s="1"/>
  <c r="AP84" i="24" s="1"/>
  <c r="J83" i="23"/>
  <c r="H83" i="23"/>
  <c r="J82" i="23"/>
  <c r="H82" i="23"/>
  <c r="J81" i="23"/>
  <c r="P81" i="23" s="1"/>
  <c r="P83" i="24"/>
  <c r="D95" i="34"/>
  <c r="F13" i="1"/>
  <c r="Q13" i="1" s="1"/>
  <c r="AU73" i="1"/>
  <c r="AU72" i="1"/>
  <c r="AU71" i="1"/>
  <c r="AU74" i="1"/>
  <c r="AP73" i="23"/>
  <c r="AP74" i="23"/>
  <c r="AQ73" i="24"/>
  <c r="AQ74" i="24"/>
  <c r="AP73" i="27"/>
  <c r="AP74" i="27"/>
  <c r="AP73" i="28"/>
  <c r="AP74" i="28"/>
  <c r="AP73" i="1"/>
  <c r="AP74" i="1"/>
  <c r="D25" i="23"/>
  <c r="D19" i="23"/>
  <c r="F19" i="23" s="1"/>
  <c r="P19" i="23" s="1"/>
  <c r="I19" i="34" s="1"/>
  <c r="D16" i="23"/>
  <c r="F16" i="23" s="1"/>
  <c r="P16" i="23" s="1"/>
  <c r="Q17" i="23" s="1"/>
  <c r="AF7" i="22"/>
  <c r="E354" i="21"/>
  <c r="F354" i="21" s="1"/>
  <c r="G354" i="21" s="1"/>
  <c r="H354" i="21" s="1"/>
  <c r="I354" i="21" s="1"/>
  <c r="AF5" i="22"/>
  <c r="BN17" i="11" s="1"/>
  <c r="W307" i="22"/>
  <c r="AA307" i="22" s="1"/>
  <c r="F226" i="28" s="1"/>
  <c r="P226" i="28" s="1"/>
  <c r="W308" i="22"/>
  <c r="AA308" i="22" s="1"/>
  <c r="F227" i="28" s="1"/>
  <c r="P227" i="28" s="1"/>
  <c r="W306" i="22"/>
  <c r="AA306" i="22" s="1"/>
  <c r="F225" i="28" s="1"/>
  <c r="P225" i="28" s="1"/>
  <c r="G295" i="22"/>
  <c r="G298" i="22" s="1"/>
  <c r="G301" i="22" s="1"/>
  <c r="G304" i="22" s="1"/>
  <c r="G307" i="22" s="1"/>
  <c r="G310" i="22" s="1"/>
  <c r="G313" i="22" s="1"/>
  <c r="G293" i="22"/>
  <c r="G296" i="22" s="1"/>
  <c r="G299" i="22" s="1"/>
  <c r="G302" i="22" s="1"/>
  <c r="G305" i="22" s="1"/>
  <c r="G308" i="22" s="1"/>
  <c r="G311" i="22" s="1"/>
  <c r="G294" i="22"/>
  <c r="G297" i="22" s="1"/>
  <c r="G300" i="22" s="1"/>
  <c r="G303" i="22" s="1"/>
  <c r="G306" i="22" s="1"/>
  <c r="G309" i="22" s="1"/>
  <c r="G312" i="22" s="1"/>
  <c r="W304" i="22"/>
  <c r="AA304" i="22" s="1"/>
  <c r="F226" i="27" s="1"/>
  <c r="P226" i="27" s="1"/>
  <c r="W305" i="22"/>
  <c r="AA305" i="22" s="1"/>
  <c r="F227" i="27" s="1"/>
  <c r="P227" i="27" s="1"/>
  <c r="AP227" i="27" s="1"/>
  <c r="W303" i="22"/>
  <c r="AA303" i="22" s="1"/>
  <c r="F225" i="27" s="1"/>
  <c r="P225" i="27" s="1"/>
  <c r="W301" i="22"/>
  <c r="AA301" i="22" s="1"/>
  <c r="F226" i="24" s="1"/>
  <c r="P226" i="24" s="1"/>
  <c r="W302" i="22"/>
  <c r="AA302" i="22" s="1"/>
  <c r="F227" i="24" s="1"/>
  <c r="P227" i="24" s="1"/>
  <c r="W300" i="22"/>
  <c r="AA300" i="22" s="1"/>
  <c r="F225" i="24" s="1"/>
  <c r="P225" i="24" s="1"/>
  <c r="L225" i="34" s="1"/>
  <c r="W298" i="22"/>
  <c r="AA298" i="22" s="1"/>
  <c r="F226" i="23" s="1"/>
  <c r="P226" i="23" s="1"/>
  <c r="W299" i="22"/>
  <c r="AA299" i="22" s="1"/>
  <c r="F227" i="23" s="1"/>
  <c r="P227" i="23" s="1"/>
  <c r="W297" i="22"/>
  <c r="AA297" i="22" s="1"/>
  <c r="F225" i="23" s="1"/>
  <c r="P225" i="23" s="1"/>
  <c r="AP225" i="23" s="1"/>
  <c r="W295" i="22"/>
  <c r="AA295" i="22" s="1"/>
  <c r="F226" i="1" s="1"/>
  <c r="P226" i="1" s="1"/>
  <c r="W296" i="22"/>
  <c r="AA296" i="22" s="1"/>
  <c r="F227" i="1" s="1"/>
  <c r="P227" i="1" s="1"/>
  <c r="AS227" i="1" s="1"/>
  <c r="W294" i="22"/>
  <c r="AA294" i="22" s="1"/>
  <c r="F225" i="1" s="1"/>
  <c r="P225" i="1" s="1"/>
  <c r="F352" i="21"/>
  <c r="G352" i="21" s="1"/>
  <c r="H352" i="21" s="1"/>
  <c r="I352" i="21" s="1"/>
  <c r="F353" i="21"/>
  <c r="G353" i="21" s="1"/>
  <c r="H353" i="21" s="1"/>
  <c r="I353" i="21" s="1"/>
  <c r="F355" i="21"/>
  <c r="G355" i="21" s="1"/>
  <c r="H355" i="21" s="1"/>
  <c r="I355" i="21" s="1"/>
  <c r="F356" i="21"/>
  <c r="G356" i="21" s="1"/>
  <c r="H356" i="21" s="1"/>
  <c r="I356" i="21" s="1"/>
  <c r="F358" i="21"/>
  <c r="G358" i="21" s="1"/>
  <c r="H358" i="21" s="1"/>
  <c r="I358" i="21" s="1"/>
  <c r="B378" i="21"/>
  <c r="B379" i="21"/>
  <c r="B444" i="21"/>
  <c r="B445" i="21"/>
  <c r="B446" i="21"/>
  <c r="B447" i="21"/>
  <c r="B448" i="21"/>
  <c r="B449" i="21"/>
  <c r="B450" i="21"/>
  <c r="B451" i="21"/>
  <c r="B452" i="21"/>
  <c r="B456" i="21"/>
  <c r="B457" i="21"/>
  <c r="B458" i="21"/>
  <c r="B459" i="21"/>
  <c r="B460" i="21"/>
  <c r="B461" i="21"/>
  <c r="B462" i="21"/>
  <c r="B463" i="21"/>
  <c r="B464" i="21"/>
  <c r="D71" i="34"/>
  <c r="D72" i="34"/>
  <c r="D73" i="34"/>
  <c r="D74" i="34"/>
  <c r="D70" i="34"/>
  <c r="P99" i="28"/>
  <c r="R99" i="34" s="1"/>
  <c r="P98" i="28"/>
  <c r="AP98" i="28" s="1"/>
  <c r="P96" i="28"/>
  <c r="P97" i="28"/>
  <c r="R97" i="34" s="1"/>
  <c r="P81" i="28"/>
  <c r="P82" i="28"/>
  <c r="AP82" i="28" s="1"/>
  <c r="P83" i="28"/>
  <c r="R83" i="34" s="1"/>
  <c r="P84" i="28"/>
  <c r="R84" i="34" s="1"/>
  <c r="P87" i="28"/>
  <c r="P88" i="28"/>
  <c r="AP88" i="28" s="1"/>
  <c r="P89" i="28"/>
  <c r="R89" i="34" s="1"/>
  <c r="P90" i="28"/>
  <c r="P99" i="27"/>
  <c r="O99" i="34"/>
  <c r="P98" i="27"/>
  <c r="O98" i="34" s="1"/>
  <c r="P97" i="27"/>
  <c r="AP97" i="27"/>
  <c r="P96" i="27"/>
  <c r="P81" i="27"/>
  <c r="AP81" i="27" s="1"/>
  <c r="P82" i="27"/>
  <c r="O82" i="34" s="1"/>
  <c r="P83" i="27"/>
  <c r="O83" i="34" s="1"/>
  <c r="P84" i="27"/>
  <c r="O84" i="34" s="1"/>
  <c r="P87" i="27"/>
  <c r="O87" i="34" s="1"/>
  <c r="P88" i="27"/>
  <c r="O88" i="34" s="1"/>
  <c r="P89" i="27"/>
  <c r="O89" i="34" s="1"/>
  <c r="P90" i="27"/>
  <c r="O90" i="34" s="1"/>
  <c r="L25" i="23"/>
  <c r="AL25" i="23" s="1"/>
  <c r="N25" i="23"/>
  <c r="N25" i="24" s="1"/>
  <c r="AN25" i="24" s="1"/>
  <c r="D13" i="23"/>
  <c r="F13" i="23" s="1"/>
  <c r="P13" i="23" s="1"/>
  <c r="D13" i="24"/>
  <c r="F13" i="24" s="1"/>
  <c r="AC13" i="24" s="1"/>
  <c r="D13" i="27"/>
  <c r="F13" i="27" s="1"/>
  <c r="AC13" i="27" s="1"/>
  <c r="AD14" i="27" s="1"/>
  <c r="BE14" i="27" s="1"/>
  <c r="D13" i="28"/>
  <c r="F13" i="28" s="1"/>
  <c r="P13" i="28" s="1"/>
  <c r="P99" i="23"/>
  <c r="AP99" i="23" s="1"/>
  <c r="P98" i="23"/>
  <c r="AP98" i="23" s="1"/>
  <c r="P97" i="23"/>
  <c r="I97" i="34" s="1"/>
  <c r="P96" i="23"/>
  <c r="P99" i="24"/>
  <c r="L99" i="34" s="1"/>
  <c r="P98" i="24"/>
  <c r="L98" i="34" s="1"/>
  <c r="P97" i="24"/>
  <c r="P96" i="24"/>
  <c r="P81" i="24"/>
  <c r="AQ81" i="24" s="1"/>
  <c r="P82" i="24"/>
  <c r="P87" i="24"/>
  <c r="P88" i="24"/>
  <c r="F90" i="23"/>
  <c r="F90" i="24" s="1"/>
  <c r="P90" i="24" s="1"/>
  <c r="L90" i="34" s="1"/>
  <c r="P99" i="1"/>
  <c r="AP99" i="1" s="1"/>
  <c r="P98" i="1"/>
  <c r="AP98" i="1" s="1"/>
  <c r="P97" i="1"/>
  <c r="AP97" i="1"/>
  <c r="P96" i="1"/>
  <c r="AP96" i="1"/>
  <c r="P90" i="1"/>
  <c r="P84" i="1"/>
  <c r="F84" i="34" s="1"/>
  <c r="D86" i="24"/>
  <c r="J89" i="23"/>
  <c r="H89" i="23"/>
  <c r="J87" i="23"/>
  <c r="J88" i="23"/>
  <c r="H88" i="23"/>
  <c r="L82" i="34"/>
  <c r="P89" i="1"/>
  <c r="P88" i="1"/>
  <c r="P87" i="1"/>
  <c r="P83" i="1"/>
  <c r="F83" i="34" s="1"/>
  <c r="P82" i="1"/>
  <c r="AP82" i="1"/>
  <c r="P81" i="1"/>
  <c r="C117" i="22"/>
  <c r="U117" i="22"/>
  <c r="O68" i="22"/>
  <c r="C122" i="22" s="1"/>
  <c r="W293" i="22"/>
  <c r="AA293" i="22" s="1"/>
  <c r="W292" i="22"/>
  <c r="AA292" i="22" s="1"/>
  <c r="W291" i="22"/>
  <c r="AA291" i="22" s="1"/>
  <c r="W290" i="22"/>
  <c r="AA290" i="22" s="1"/>
  <c r="D187" i="34"/>
  <c r="D169" i="34"/>
  <c r="D143" i="34"/>
  <c r="D135" i="34"/>
  <c r="D134" i="34"/>
  <c r="D126" i="34"/>
  <c r="D125" i="34"/>
  <c r="D116" i="34"/>
  <c r="D108" i="34"/>
  <c r="D107" i="34"/>
  <c r="P37" i="1"/>
  <c r="AW37" i="1" s="1"/>
  <c r="AU229" i="23"/>
  <c r="AU229" i="24"/>
  <c r="AU229" i="27"/>
  <c r="AU229" i="28"/>
  <c r="AU229" i="1"/>
  <c r="P229" i="23"/>
  <c r="I229" i="34" s="1"/>
  <c r="P229" i="24"/>
  <c r="P229" i="27"/>
  <c r="O229" i="34" s="1"/>
  <c r="P229" i="28"/>
  <c r="R229" i="34" s="1"/>
  <c r="D215" i="34"/>
  <c r="D216" i="34"/>
  <c r="D217" i="34"/>
  <c r="D218" i="34"/>
  <c r="D206" i="34"/>
  <c r="D207" i="34"/>
  <c r="D208" i="34"/>
  <c r="D209" i="34"/>
  <c r="D197" i="34"/>
  <c r="D198" i="34"/>
  <c r="D199" i="34"/>
  <c r="D200" i="34"/>
  <c r="D188" i="34"/>
  <c r="D189" i="34"/>
  <c r="D190" i="34"/>
  <c r="D191" i="34"/>
  <c r="D179" i="34"/>
  <c r="D180" i="34"/>
  <c r="D181" i="34"/>
  <c r="D182" i="34"/>
  <c r="D170" i="34"/>
  <c r="D171" i="34"/>
  <c r="D172" i="34"/>
  <c r="D173" i="34"/>
  <c r="D215" i="23"/>
  <c r="D215" i="24" s="1"/>
  <c r="D215" i="27" s="1"/>
  <c r="D215" i="28" s="1"/>
  <c r="D216" i="23"/>
  <c r="D216" i="24" s="1"/>
  <c r="D216" i="27" s="1"/>
  <c r="D216" i="28" s="1"/>
  <c r="D217" i="23"/>
  <c r="D217" i="24" s="1"/>
  <c r="D217" i="27" s="1"/>
  <c r="D217" i="28" s="1"/>
  <c r="D218" i="23"/>
  <c r="D218" i="24" s="1"/>
  <c r="D218" i="27" s="1"/>
  <c r="D218" i="28" s="1"/>
  <c r="D209" i="23"/>
  <c r="D209" i="24" s="1"/>
  <c r="D209" i="27" s="1"/>
  <c r="D209" i="28" s="1"/>
  <c r="D197" i="23"/>
  <c r="D197" i="24" s="1"/>
  <c r="D197" i="27" s="1"/>
  <c r="D197" i="28" s="1"/>
  <c r="D198" i="23"/>
  <c r="D198" i="24" s="1"/>
  <c r="D198" i="27" s="1"/>
  <c r="D198" i="28" s="1"/>
  <c r="D199" i="23"/>
  <c r="D199" i="24" s="1"/>
  <c r="D199" i="27" s="1"/>
  <c r="D199" i="28" s="1"/>
  <c r="D200" i="23"/>
  <c r="D200" i="24" s="1"/>
  <c r="D200" i="27" s="1"/>
  <c r="D200" i="28" s="1"/>
  <c r="D188" i="23"/>
  <c r="D188" i="24" s="1"/>
  <c r="D188" i="27" s="1"/>
  <c r="D188" i="28" s="1"/>
  <c r="D189" i="23"/>
  <c r="D189" i="24" s="1"/>
  <c r="D189" i="27" s="1"/>
  <c r="D189" i="28" s="1"/>
  <c r="D190" i="23"/>
  <c r="D190" i="24"/>
  <c r="D190" i="27" s="1"/>
  <c r="D190" i="28" s="1"/>
  <c r="D191" i="23"/>
  <c r="D191" i="24" s="1"/>
  <c r="D191" i="27" s="1"/>
  <c r="D191" i="28" s="1"/>
  <c r="D179" i="23"/>
  <c r="D179" i="24" s="1"/>
  <c r="D179" i="27" s="1"/>
  <c r="D179" i="28" s="1"/>
  <c r="D180" i="23"/>
  <c r="D180" i="24" s="1"/>
  <c r="D180" i="27" s="1"/>
  <c r="D180" i="28" s="1"/>
  <c r="D181" i="23"/>
  <c r="D181" i="24" s="1"/>
  <c r="D181" i="27" s="1"/>
  <c r="D181" i="28" s="1"/>
  <c r="D182" i="23"/>
  <c r="D182" i="24" s="1"/>
  <c r="D182" i="27" s="1"/>
  <c r="D182" i="28" s="1"/>
  <c r="D170" i="23"/>
  <c r="D170" i="24" s="1"/>
  <c r="D170" i="27" s="1"/>
  <c r="D170" i="28" s="1"/>
  <c r="D171" i="23"/>
  <c r="D171" i="24" s="1"/>
  <c r="D171" i="27" s="1"/>
  <c r="D171" i="28" s="1"/>
  <c r="D172" i="23"/>
  <c r="D172" i="24" s="1"/>
  <c r="D172" i="27" s="1"/>
  <c r="D172" i="28" s="1"/>
  <c r="D173" i="23"/>
  <c r="D173" i="24" s="1"/>
  <c r="D173" i="27" s="1"/>
  <c r="D173" i="28" s="1"/>
  <c r="D156" i="24"/>
  <c r="D156" i="27" s="1"/>
  <c r="D156" i="28" s="1"/>
  <c r="D157" i="24"/>
  <c r="D157" i="27" s="1"/>
  <c r="D157" i="28" s="1"/>
  <c r="D214" i="23"/>
  <c r="D214" i="24" s="1"/>
  <c r="D214" i="27" s="1"/>
  <c r="D214" i="28" s="1"/>
  <c r="D196" i="23"/>
  <c r="D196" i="24" s="1"/>
  <c r="D196" i="27" s="1"/>
  <c r="D196" i="28" s="1"/>
  <c r="D187" i="23"/>
  <c r="D187" i="27"/>
  <c r="D187" i="28" s="1"/>
  <c r="D169" i="27"/>
  <c r="D169" i="28" s="1"/>
  <c r="AQ261" i="34"/>
  <c r="D214" i="34"/>
  <c r="D205" i="34"/>
  <c r="D196" i="34"/>
  <c r="D178" i="34"/>
  <c r="D86" i="23"/>
  <c r="P76" i="1"/>
  <c r="E18" i="14" s="1"/>
  <c r="D15" i="12" s="1"/>
  <c r="P166" i="1"/>
  <c r="E20" i="14" s="1"/>
  <c r="P175" i="1"/>
  <c r="P184" i="1"/>
  <c r="P202" i="1"/>
  <c r="L18" i="39"/>
  <c r="P184" i="23"/>
  <c r="P202" i="23"/>
  <c r="L18" i="40" s="1"/>
  <c r="P184" i="24"/>
  <c r="P202" i="24"/>
  <c r="E22" i="30" s="1"/>
  <c r="P184" i="27"/>
  <c r="P202" i="27"/>
  <c r="L18" i="42" s="1"/>
  <c r="P184" i="28"/>
  <c r="P202" i="28"/>
  <c r="L18" i="43" s="1"/>
  <c r="P193" i="1"/>
  <c r="P211" i="1"/>
  <c r="P220" i="1"/>
  <c r="E24" i="14" s="1"/>
  <c r="D18" i="12" s="1"/>
  <c r="AS71" i="1"/>
  <c r="AS72" i="1"/>
  <c r="AS73" i="1"/>
  <c r="AS74" i="1"/>
  <c r="AS197" i="1"/>
  <c r="AS198" i="1"/>
  <c r="AS199" i="1"/>
  <c r="AS200" i="1"/>
  <c r="P76" i="28"/>
  <c r="P166" i="28"/>
  <c r="L16" i="43" s="1"/>
  <c r="AC166" i="28"/>
  <c r="P175" i="28"/>
  <c r="L14" i="43" s="1"/>
  <c r="P193" i="28"/>
  <c r="P211" i="28"/>
  <c r="P220" i="28"/>
  <c r="E24" i="32" s="1"/>
  <c r="AS71" i="28"/>
  <c r="AS72" i="28"/>
  <c r="AS73" i="28"/>
  <c r="AS74" i="28"/>
  <c r="AS197" i="28"/>
  <c r="AS198" i="28"/>
  <c r="AS199" i="28"/>
  <c r="AS200" i="28"/>
  <c r="P76" i="27"/>
  <c r="E18" i="31" s="1"/>
  <c r="P166" i="27"/>
  <c r="L16" i="42" s="1"/>
  <c r="P175" i="27"/>
  <c r="P193" i="27"/>
  <c r="P211" i="27"/>
  <c r="P220" i="27"/>
  <c r="E24" i="31" s="1"/>
  <c r="AS71" i="27"/>
  <c r="AS72" i="27"/>
  <c r="AS73" i="27"/>
  <c r="AS74" i="27"/>
  <c r="AS197" i="27"/>
  <c r="AS198" i="27"/>
  <c r="AS199" i="27"/>
  <c r="AS200" i="27"/>
  <c r="P76" i="24"/>
  <c r="E18" i="30" s="1"/>
  <c r="P166" i="24"/>
  <c r="E20" i="30" s="1"/>
  <c r="P175" i="24"/>
  <c r="L14" i="41" s="1"/>
  <c r="P193" i="24"/>
  <c r="P211" i="24"/>
  <c r="P220" i="24"/>
  <c r="E24" i="30" s="1"/>
  <c r="AS71" i="24"/>
  <c r="AS72" i="24"/>
  <c r="AS73" i="24"/>
  <c r="AS74" i="24"/>
  <c r="AS197" i="24"/>
  <c r="AS198" i="24"/>
  <c r="AS199" i="24"/>
  <c r="AS200" i="24"/>
  <c r="AS71" i="23"/>
  <c r="AS72" i="23"/>
  <c r="AS73" i="23"/>
  <c r="AS74" i="23"/>
  <c r="AS197" i="23"/>
  <c r="AS198" i="23"/>
  <c r="AS199" i="23"/>
  <c r="AS200" i="23"/>
  <c r="P76" i="23"/>
  <c r="E18" i="29" s="1"/>
  <c r="E15" i="12" s="1"/>
  <c r="P166" i="23"/>
  <c r="E20" i="29" s="1"/>
  <c r="P175" i="23"/>
  <c r="P193" i="23"/>
  <c r="P220" i="23"/>
  <c r="E24" i="29" s="1"/>
  <c r="AC76" i="1"/>
  <c r="G18" i="14" s="1"/>
  <c r="AC166" i="1"/>
  <c r="G20" i="14" s="1"/>
  <c r="AC175" i="1"/>
  <c r="AC184" i="1"/>
  <c r="G22" i="14" s="1"/>
  <c r="AC193" i="1"/>
  <c r="AC202" i="1"/>
  <c r="AC211" i="1"/>
  <c r="AC231" i="1"/>
  <c r="AC220" i="1"/>
  <c r="G24" i="14" s="1"/>
  <c r="AC220" i="23"/>
  <c r="G24" i="29" s="1"/>
  <c r="AC220" i="24"/>
  <c r="G24" i="30" s="1"/>
  <c r="AC220" i="27"/>
  <c r="G24" i="31" s="1"/>
  <c r="AC220" i="28"/>
  <c r="G24" i="32" s="1"/>
  <c r="K24" i="32" s="1"/>
  <c r="AU197" i="1"/>
  <c r="AU198" i="1"/>
  <c r="AU199" i="1"/>
  <c r="AU200" i="1"/>
  <c r="AD76" i="24"/>
  <c r="G18" i="30" s="1"/>
  <c r="AC166" i="24"/>
  <c r="AC175" i="24"/>
  <c r="AC233" i="24" s="1"/>
  <c r="M17" i="9" s="1"/>
  <c r="AC184" i="24"/>
  <c r="AC193" i="24"/>
  <c r="AC113" i="24"/>
  <c r="AC122" i="24"/>
  <c r="AC151" i="24" s="1"/>
  <c r="AC131" i="24"/>
  <c r="AC140" i="24"/>
  <c r="AC149" i="24"/>
  <c r="AC231" i="24"/>
  <c r="AC202" i="24"/>
  <c r="AC211" i="24"/>
  <c r="AU71" i="24"/>
  <c r="AU72" i="24"/>
  <c r="AU73" i="24"/>
  <c r="AU74" i="24"/>
  <c r="AU197" i="24"/>
  <c r="AU198" i="24"/>
  <c r="AU199" i="24"/>
  <c r="AU200" i="24"/>
  <c r="AU71" i="23"/>
  <c r="AU72" i="23"/>
  <c r="AU73" i="23"/>
  <c r="AU74" i="23"/>
  <c r="AU197" i="23"/>
  <c r="AU198" i="23"/>
  <c r="AU199" i="23"/>
  <c r="AU200" i="23"/>
  <c r="AC76" i="23"/>
  <c r="J14" i="9"/>
  <c r="AC166" i="23"/>
  <c r="G20" i="29" s="1"/>
  <c r="AC175" i="23"/>
  <c r="AC184" i="23"/>
  <c r="AC193" i="23"/>
  <c r="AC202" i="23"/>
  <c r="AC211" i="23"/>
  <c r="AC76" i="27"/>
  <c r="G18" i="31" s="1"/>
  <c r="AC166" i="27"/>
  <c r="G20" i="31" s="1"/>
  <c r="AC175" i="27"/>
  <c r="AC113" i="27"/>
  <c r="AC122" i="27"/>
  <c r="AC131" i="27"/>
  <c r="AC151" i="27" s="1"/>
  <c r="AC140" i="27"/>
  <c r="AC149" i="27"/>
  <c r="AC193" i="27"/>
  <c r="AC231" i="27"/>
  <c r="AC184" i="27"/>
  <c r="AC202" i="27"/>
  <c r="AC211" i="27"/>
  <c r="AU71" i="27"/>
  <c r="AU72" i="27"/>
  <c r="AU73" i="27"/>
  <c r="AU74" i="27"/>
  <c r="AU197" i="27"/>
  <c r="AU198" i="27"/>
  <c r="AU199" i="27"/>
  <c r="AU200" i="27"/>
  <c r="AC76" i="28"/>
  <c r="G18" i="32" s="1"/>
  <c r="AC175" i="28"/>
  <c r="AC184" i="28"/>
  <c r="AC193" i="28"/>
  <c r="AC202" i="28"/>
  <c r="AC211" i="28"/>
  <c r="AC231" i="28"/>
  <c r="AU71" i="28"/>
  <c r="AU72" i="28"/>
  <c r="AU73" i="28"/>
  <c r="AU74" i="28"/>
  <c r="AU197" i="28"/>
  <c r="AU198" i="28"/>
  <c r="AU199" i="28"/>
  <c r="AU200" i="28"/>
  <c r="F3" i="13"/>
  <c r="F7" i="13" s="1"/>
  <c r="E8" i="12"/>
  <c r="D8" i="12"/>
  <c r="C4" i="12"/>
  <c r="B4" i="12"/>
  <c r="B3" i="13"/>
  <c r="B16" i="13" s="1"/>
  <c r="Q53" i="11"/>
  <c r="A53" i="11"/>
  <c r="L17" i="44"/>
  <c r="L15" i="44"/>
  <c r="L12" i="44"/>
  <c r="E5" i="44"/>
  <c r="M14" i="9"/>
  <c r="C21" i="9"/>
  <c r="B21" i="9"/>
  <c r="C19" i="9"/>
  <c r="B19" i="9"/>
  <c r="C18" i="9"/>
  <c r="B18" i="9"/>
  <c r="C17" i="9"/>
  <c r="B17" i="9"/>
  <c r="C16" i="9"/>
  <c r="B16" i="9"/>
  <c r="C15" i="9"/>
  <c r="B15" i="9"/>
  <c r="C14" i="9"/>
  <c r="B14" i="9"/>
  <c r="G13" i="9"/>
  <c r="F13" i="9"/>
  <c r="C13" i="9"/>
  <c r="B13" i="9"/>
  <c r="C12" i="9"/>
  <c r="B12" i="9"/>
  <c r="G10" i="9"/>
  <c r="F10" i="9"/>
  <c r="G9" i="9"/>
  <c r="F9" i="9"/>
  <c r="E5" i="9"/>
  <c r="V8" i="34" s="1"/>
  <c r="AO257" i="34"/>
  <c r="AQ259" i="34" s="1"/>
  <c r="F70" i="34"/>
  <c r="I70" i="34"/>
  <c r="L70" i="34"/>
  <c r="O70" i="34"/>
  <c r="R70" i="34"/>
  <c r="F71" i="34"/>
  <c r="F72" i="34"/>
  <c r="F73" i="34"/>
  <c r="F74" i="34"/>
  <c r="I71" i="34"/>
  <c r="L71" i="34"/>
  <c r="O71" i="34"/>
  <c r="R71" i="34"/>
  <c r="R72" i="34"/>
  <c r="R73" i="34"/>
  <c r="R74" i="34"/>
  <c r="I72" i="34"/>
  <c r="I73" i="34"/>
  <c r="I74" i="34"/>
  <c r="L72" i="34"/>
  <c r="O72" i="34"/>
  <c r="O73" i="34"/>
  <c r="O74" i="34"/>
  <c r="L73" i="34"/>
  <c r="L74" i="34"/>
  <c r="I155" i="34"/>
  <c r="L155" i="34"/>
  <c r="O155" i="34"/>
  <c r="F170" i="34"/>
  <c r="I170" i="34"/>
  <c r="L170" i="34"/>
  <c r="O170" i="34"/>
  <c r="R170" i="34"/>
  <c r="F169" i="34"/>
  <c r="I169" i="34"/>
  <c r="L169" i="34"/>
  <c r="O169" i="34"/>
  <c r="R169" i="34"/>
  <c r="F171" i="34"/>
  <c r="I171" i="34"/>
  <c r="L171" i="34"/>
  <c r="O171" i="34"/>
  <c r="R171" i="34"/>
  <c r="F172" i="34"/>
  <c r="I172" i="34"/>
  <c r="L172" i="34"/>
  <c r="O172" i="34"/>
  <c r="R172" i="34"/>
  <c r="F173" i="34"/>
  <c r="I173" i="34"/>
  <c r="L173" i="34"/>
  <c r="O173" i="34"/>
  <c r="R173" i="34"/>
  <c r="F179" i="34"/>
  <c r="I179" i="34"/>
  <c r="L179" i="34"/>
  <c r="O179" i="34"/>
  <c r="R179" i="34"/>
  <c r="F180" i="34"/>
  <c r="I180" i="34"/>
  <c r="L180" i="34"/>
  <c r="O180" i="34"/>
  <c r="R180" i="34"/>
  <c r="F181" i="34"/>
  <c r="I181" i="34"/>
  <c r="L181" i="34"/>
  <c r="O181" i="34"/>
  <c r="R181" i="34"/>
  <c r="L178" i="34"/>
  <c r="L182" i="34"/>
  <c r="F182" i="34"/>
  <c r="I182" i="34"/>
  <c r="O182" i="34"/>
  <c r="R182" i="34"/>
  <c r="I178" i="34"/>
  <c r="F188" i="34"/>
  <c r="I188" i="34"/>
  <c r="L188" i="34"/>
  <c r="O188" i="34"/>
  <c r="R188" i="34"/>
  <c r="F187" i="34"/>
  <c r="I187" i="34"/>
  <c r="L187" i="34"/>
  <c r="O187" i="34"/>
  <c r="R187" i="34"/>
  <c r="F189" i="34"/>
  <c r="I189" i="34"/>
  <c r="L189" i="34"/>
  <c r="O189" i="34"/>
  <c r="R189" i="34"/>
  <c r="F190" i="34"/>
  <c r="I190" i="34"/>
  <c r="L190" i="34"/>
  <c r="O190" i="34"/>
  <c r="R190" i="34"/>
  <c r="F191" i="34"/>
  <c r="I191" i="34"/>
  <c r="L191" i="34"/>
  <c r="O191" i="34"/>
  <c r="R191" i="34"/>
  <c r="F197" i="34"/>
  <c r="I197" i="34"/>
  <c r="L197" i="34"/>
  <c r="O197" i="34"/>
  <c r="O196" i="34"/>
  <c r="O198" i="34"/>
  <c r="O199" i="34"/>
  <c r="O200" i="34"/>
  <c r="F196" i="34"/>
  <c r="F198" i="34"/>
  <c r="F199" i="34"/>
  <c r="F200" i="34"/>
  <c r="I196" i="34"/>
  <c r="I198" i="34"/>
  <c r="I199" i="34"/>
  <c r="I200" i="34"/>
  <c r="L196" i="34"/>
  <c r="L198" i="34"/>
  <c r="L199" i="34"/>
  <c r="L200" i="34"/>
  <c r="R196" i="34"/>
  <c r="R197" i="34"/>
  <c r="R198" i="34"/>
  <c r="R199" i="34"/>
  <c r="R200" i="34"/>
  <c r="F206" i="34"/>
  <c r="I206" i="34"/>
  <c r="L206" i="34"/>
  <c r="L205" i="34"/>
  <c r="L207" i="34"/>
  <c r="L208" i="34"/>
  <c r="L209" i="34"/>
  <c r="O206" i="34"/>
  <c r="R206" i="34"/>
  <c r="F207" i="34"/>
  <c r="I207" i="34"/>
  <c r="O207" i="34"/>
  <c r="R207" i="34"/>
  <c r="F208" i="34"/>
  <c r="I208" i="34"/>
  <c r="O208" i="34"/>
  <c r="R208" i="34"/>
  <c r="F209" i="34"/>
  <c r="I209" i="34"/>
  <c r="I205" i="34"/>
  <c r="O209" i="34"/>
  <c r="R209" i="34"/>
  <c r="F215" i="34"/>
  <c r="F214" i="34"/>
  <c r="F216" i="34"/>
  <c r="F217" i="34"/>
  <c r="F218" i="34"/>
  <c r="I215" i="34"/>
  <c r="L215" i="34"/>
  <c r="O215" i="34"/>
  <c r="R215" i="34"/>
  <c r="I216" i="34"/>
  <c r="L216" i="34"/>
  <c r="O216" i="34"/>
  <c r="O214" i="34"/>
  <c r="O217" i="34"/>
  <c r="O218" i="34"/>
  <c r="R216" i="34"/>
  <c r="I217" i="34"/>
  <c r="L217" i="34"/>
  <c r="R217" i="34"/>
  <c r="I218" i="34"/>
  <c r="L218" i="34"/>
  <c r="L220" i="34" s="1"/>
  <c r="R218" i="34"/>
  <c r="B251" i="34"/>
  <c r="D247" i="34"/>
  <c r="C245" i="34"/>
  <c r="B233" i="34"/>
  <c r="C231" i="34"/>
  <c r="F229" i="34"/>
  <c r="C220" i="34"/>
  <c r="R214" i="34"/>
  <c r="L214" i="34"/>
  <c r="I214" i="34"/>
  <c r="C211" i="34"/>
  <c r="R205" i="34"/>
  <c r="O205" i="34"/>
  <c r="F205" i="34"/>
  <c r="C202" i="34"/>
  <c r="C193" i="34"/>
  <c r="C184" i="34"/>
  <c r="R178" i="34"/>
  <c r="O178" i="34"/>
  <c r="F178" i="34"/>
  <c r="C175" i="34"/>
  <c r="C166" i="34"/>
  <c r="F155" i="34"/>
  <c r="B151" i="34"/>
  <c r="C149" i="34"/>
  <c r="R147" i="34"/>
  <c r="O147" i="34"/>
  <c r="L147" i="34"/>
  <c r="I147" i="34"/>
  <c r="F147" i="34"/>
  <c r="R146" i="34"/>
  <c r="O146" i="34"/>
  <c r="L146" i="34"/>
  <c r="I146" i="34"/>
  <c r="F146" i="34"/>
  <c r="R145" i="34"/>
  <c r="O145" i="34"/>
  <c r="L145" i="34"/>
  <c r="I145" i="34"/>
  <c r="I143" i="34"/>
  <c r="I144" i="34"/>
  <c r="F145" i="34"/>
  <c r="R144" i="34"/>
  <c r="R143" i="34"/>
  <c r="O144" i="34"/>
  <c r="L144" i="34"/>
  <c r="F144" i="34"/>
  <c r="O143" i="34"/>
  <c r="L143" i="34"/>
  <c r="F143" i="34"/>
  <c r="C140" i="34"/>
  <c r="R138" i="34"/>
  <c r="O138" i="34"/>
  <c r="L138" i="34"/>
  <c r="I138" i="34"/>
  <c r="F138" i="34"/>
  <c r="R137" i="34"/>
  <c r="O137" i="34"/>
  <c r="L137" i="34"/>
  <c r="I137" i="34"/>
  <c r="F137" i="34"/>
  <c r="R136" i="34"/>
  <c r="O136" i="34"/>
  <c r="L136" i="34"/>
  <c r="L134" i="34"/>
  <c r="L135" i="34"/>
  <c r="I136" i="34"/>
  <c r="F136" i="34"/>
  <c r="R135" i="34"/>
  <c r="R134" i="34"/>
  <c r="O135" i="34"/>
  <c r="I135" i="34"/>
  <c r="F135" i="34"/>
  <c r="O134" i="34"/>
  <c r="I134" i="34"/>
  <c r="F134" i="34"/>
  <c r="C131" i="34"/>
  <c r="R129" i="34"/>
  <c r="O129" i="34"/>
  <c r="L129" i="34"/>
  <c r="I129" i="34"/>
  <c r="F129" i="34"/>
  <c r="R128" i="34"/>
  <c r="O128" i="34"/>
  <c r="L128" i="34"/>
  <c r="I128" i="34"/>
  <c r="F128" i="34"/>
  <c r="R127" i="34"/>
  <c r="O127" i="34"/>
  <c r="O125" i="34"/>
  <c r="O126" i="34"/>
  <c r="L127" i="34"/>
  <c r="I127" i="34"/>
  <c r="I125" i="34"/>
  <c r="I126" i="34"/>
  <c r="I107" i="34"/>
  <c r="I108" i="34"/>
  <c r="I109" i="34"/>
  <c r="I110" i="34"/>
  <c r="I111" i="34"/>
  <c r="I116" i="34"/>
  <c r="I117" i="34"/>
  <c r="I118" i="34"/>
  <c r="I119" i="34"/>
  <c r="I120" i="34"/>
  <c r="F127" i="34"/>
  <c r="R126" i="34"/>
  <c r="L126" i="34"/>
  <c r="F126" i="34"/>
  <c r="F125" i="34"/>
  <c r="L125" i="34"/>
  <c r="R125" i="34"/>
  <c r="C122" i="34"/>
  <c r="R120" i="34"/>
  <c r="O120" i="34"/>
  <c r="L120" i="34"/>
  <c r="F120" i="34"/>
  <c r="R119" i="34"/>
  <c r="O119" i="34"/>
  <c r="L119" i="34"/>
  <c r="F119" i="34"/>
  <c r="R118" i="34"/>
  <c r="R116" i="34"/>
  <c r="R117" i="34"/>
  <c r="O118" i="34"/>
  <c r="F118" i="34"/>
  <c r="L118" i="34"/>
  <c r="O117" i="34"/>
  <c r="L117" i="34"/>
  <c r="F117" i="34"/>
  <c r="O116" i="34"/>
  <c r="L116" i="34"/>
  <c r="F116" i="34"/>
  <c r="C113" i="34"/>
  <c r="R111" i="34"/>
  <c r="O111" i="34"/>
  <c r="L111" i="34"/>
  <c r="F111" i="34"/>
  <c r="R110" i="34"/>
  <c r="R107" i="34"/>
  <c r="R108" i="34"/>
  <c r="R109" i="34"/>
  <c r="O110" i="34"/>
  <c r="L110" i="34"/>
  <c r="F110" i="34"/>
  <c r="O109" i="34"/>
  <c r="L109" i="34"/>
  <c r="F109" i="34"/>
  <c r="O108" i="34"/>
  <c r="O107" i="34"/>
  <c r="L108" i="34"/>
  <c r="F108" i="34"/>
  <c r="F107" i="34"/>
  <c r="L107" i="34"/>
  <c r="B103" i="34"/>
  <c r="C101" i="34"/>
  <c r="R95" i="34"/>
  <c r="O95" i="34"/>
  <c r="C92" i="34"/>
  <c r="D86" i="34"/>
  <c r="D80" i="34"/>
  <c r="B76" i="34"/>
  <c r="B67" i="34"/>
  <c r="D65" i="34"/>
  <c r="D64" i="34"/>
  <c r="D62" i="34"/>
  <c r="D61" i="34"/>
  <c r="D59" i="34"/>
  <c r="D58" i="34"/>
  <c r="D56" i="34"/>
  <c r="D55" i="34"/>
  <c r="D53" i="34"/>
  <c r="D52" i="34"/>
  <c r="D50" i="34"/>
  <c r="D49" i="34"/>
  <c r="D47" i="34"/>
  <c r="D46" i="34"/>
  <c r="B43" i="34"/>
  <c r="D41" i="34"/>
  <c r="D38" i="34"/>
  <c r="D35" i="34"/>
  <c r="D32" i="34"/>
  <c r="D29" i="34"/>
  <c r="D26" i="34"/>
  <c r="D23" i="34"/>
  <c r="D20" i="34"/>
  <c r="D17" i="34"/>
  <c r="D14" i="34"/>
  <c r="D13" i="34"/>
  <c r="C13" i="34"/>
  <c r="D5" i="34"/>
  <c r="D4" i="34"/>
  <c r="I42" i="33"/>
  <c r="I40" i="33"/>
  <c r="F40" i="33"/>
  <c r="I38" i="33"/>
  <c r="I36" i="33"/>
  <c r="I34" i="33"/>
  <c r="I33" i="33"/>
  <c r="I26" i="33"/>
  <c r="I24" i="33"/>
  <c r="I22" i="33"/>
  <c r="I20" i="33"/>
  <c r="AP70" i="28"/>
  <c r="AP71" i="28"/>
  <c r="AP72" i="28"/>
  <c r="I18" i="33"/>
  <c r="I16" i="33"/>
  <c r="I14" i="33"/>
  <c r="I12" i="33"/>
  <c r="G36" i="32"/>
  <c r="I30" i="32"/>
  <c r="I28" i="32"/>
  <c r="I44" i="32"/>
  <c r="B251" i="28"/>
  <c r="D247" i="28"/>
  <c r="D40" i="32" s="1"/>
  <c r="C245" i="28"/>
  <c r="D38" i="32" s="1"/>
  <c r="B233" i="28"/>
  <c r="C231" i="28"/>
  <c r="AU227" i="28"/>
  <c r="AU226" i="28"/>
  <c r="AU225" i="28"/>
  <c r="AP215" i="28"/>
  <c r="AP216" i="28"/>
  <c r="AP217" i="28"/>
  <c r="AP218" i="28"/>
  <c r="C220" i="28"/>
  <c r="AP214" i="28"/>
  <c r="AP206" i="28"/>
  <c r="AP205" i="28"/>
  <c r="AP207" i="28"/>
  <c r="AP211" i="28" s="1"/>
  <c r="AP208" i="28"/>
  <c r="AP209" i="28"/>
  <c r="C211" i="28"/>
  <c r="AP197" i="28"/>
  <c r="AP198" i="28"/>
  <c r="AP199" i="28"/>
  <c r="AP200" i="28"/>
  <c r="C202" i="28"/>
  <c r="AU196" i="28"/>
  <c r="AS196" i="28"/>
  <c r="AP196" i="28"/>
  <c r="AP188" i="28"/>
  <c r="AP189" i="28"/>
  <c r="AP190" i="28"/>
  <c r="AP191" i="28"/>
  <c r="C193" i="28"/>
  <c r="AP187" i="28"/>
  <c r="AP179" i="28"/>
  <c r="AP180" i="28"/>
  <c r="AP181" i="28"/>
  <c r="AP184" i="28" s="1"/>
  <c r="AP182" i="28"/>
  <c r="C184" i="28"/>
  <c r="AP178" i="28"/>
  <c r="AP170" i="28"/>
  <c r="AP171" i="28"/>
  <c r="AP172" i="28"/>
  <c r="AP173" i="28"/>
  <c r="C175" i="28"/>
  <c r="AP169" i="28"/>
  <c r="AP161" i="28"/>
  <c r="AP162" i="28"/>
  <c r="AP163" i="28"/>
  <c r="AP166" i="28" s="1"/>
  <c r="AP155" i="28"/>
  <c r="AP164" i="28"/>
  <c r="C166" i="28"/>
  <c r="B151" i="28"/>
  <c r="AC149" i="28"/>
  <c r="P149" i="28"/>
  <c r="C149" i="28"/>
  <c r="AP147" i="28"/>
  <c r="AP146" i="28"/>
  <c r="AP145" i="28"/>
  <c r="AP144" i="28"/>
  <c r="AP143" i="28"/>
  <c r="AC140" i="28"/>
  <c r="P140" i="28"/>
  <c r="C140" i="28"/>
  <c r="AP138" i="28"/>
  <c r="AP137" i="28"/>
  <c r="AP136" i="28"/>
  <c r="AP135" i="28"/>
  <c r="AP134" i="28"/>
  <c r="AC131" i="28"/>
  <c r="P131" i="28"/>
  <c r="C131" i="28"/>
  <c r="AP129" i="28"/>
  <c r="AP128" i="28"/>
  <c r="AP125" i="28"/>
  <c r="AP126" i="28"/>
  <c r="AP127" i="28"/>
  <c r="AC122" i="28"/>
  <c r="P122" i="28"/>
  <c r="P113" i="28"/>
  <c r="P151" i="28" s="1"/>
  <c r="C122" i="28"/>
  <c r="AP120" i="28"/>
  <c r="AP119" i="28"/>
  <c r="AP118" i="28"/>
  <c r="AP117" i="28"/>
  <c r="AP116" i="28"/>
  <c r="AP107" i="28"/>
  <c r="AP108" i="28"/>
  <c r="AP109" i="28"/>
  <c r="AP110" i="28"/>
  <c r="AP111" i="28"/>
  <c r="AC113" i="28"/>
  <c r="C113" i="28"/>
  <c r="B103" i="28"/>
  <c r="AC101" i="28"/>
  <c r="C101" i="28"/>
  <c r="R96" i="34"/>
  <c r="AP95" i="28"/>
  <c r="AP96" i="28"/>
  <c r="AP97" i="28"/>
  <c r="AP99" i="28"/>
  <c r="AC92" i="28"/>
  <c r="C92" i="28"/>
  <c r="B76" i="28"/>
  <c r="B67" i="28"/>
  <c r="D65" i="28"/>
  <c r="AN64" i="28"/>
  <c r="AL64" i="28"/>
  <c r="AJ64" i="28"/>
  <c r="AH64" i="28"/>
  <c r="D62" i="28"/>
  <c r="AN61" i="28"/>
  <c r="AL61" i="28"/>
  <c r="AJ61" i="28"/>
  <c r="AH61" i="28"/>
  <c r="D59" i="28"/>
  <c r="AN58" i="28"/>
  <c r="AL58" i="28"/>
  <c r="AJ58" i="28"/>
  <c r="AH58" i="28"/>
  <c r="D56" i="28"/>
  <c r="AN55" i="28"/>
  <c r="AL55" i="28"/>
  <c r="AJ55" i="28"/>
  <c r="AH55" i="28"/>
  <c r="D53" i="28"/>
  <c r="AN52" i="28"/>
  <c r="AL52" i="28"/>
  <c r="AJ52" i="28"/>
  <c r="AH52" i="28"/>
  <c r="D50" i="28"/>
  <c r="AN49" i="28"/>
  <c r="AL49" i="28"/>
  <c r="AJ49" i="28"/>
  <c r="AH49" i="28"/>
  <c r="D47" i="28"/>
  <c r="AN46" i="28"/>
  <c r="AL46" i="28"/>
  <c r="AJ46" i="28"/>
  <c r="AH46" i="28"/>
  <c r="B43" i="28"/>
  <c r="D41" i="28"/>
  <c r="AN40" i="28"/>
  <c r="AL40" i="28"/>
  <c r="AJ40" i="28"/>
  <c r="AJ43" i="28" s="1"/>
  <c r="AH40" i="28"/>
  <c r="D38" i="28"/>
  <c r="AN37" i="28"/>
  <c r="AL37" i="28"/>
  <c r="AJ37" i="28"/>
  <c r="AH37" i="28"/>
  <c r="D35" i="28"/>
  <c r="AN34" i="28"/>
  <c r="AL34" i="28"/>
  <c r="AJ34" i="28"/>
  <c r="AH34" i="28"/>
  <c r="D32" i="28"/>
  <c r="AN31" i="28"/>
  <c r="AL31" i="28"/>
  <c r="AL13" i="28"/>
  <c r="AL16" i="28"/>
  <c r="AL19" i="28"/>
  <c r="AL22" i="28"/>
  <c r="AL25" i="28"/>
  <c r="AL28" i="28"/>
  <c r="AJ31" i="28"/>
  <c r="AH31" i="28"/>
  <c r="D29" i="28"/>
  <c r="AN28" i="28"/>
  <c r="AJ28" i="28"/>
  <c r="AH28" i="28"/>
  <c r="D26" i="28"/>
  <c r="AN25" i="28"/>
  <c r="AJ25" i="28"/>
  <c r="AH25" i="28"/>
  <c r="D23" i="28"/>
  <c r="AN22" i="28"/>
  <c r="AJ22" i="28"/>
  <c r="AH22" i="28"/>
  <c r="D20" i="28"/>
  <c r="AN19" i="28"/>
  <c r="AJ19" i="28"/>
  <c r="AH19" i="28"/>
  <c r="D17" i="28"/>
  <c r="AN16" i="28"/>
  <c r="AN13" i="28"/>
  <c r="AJ16" i="28"/>
  <c r="AH16" i="28"/>
  <c r="D14" i="28"/>
  <c r="AJ13" i="28"/>
  <c r="AH13" i="28"/>
  <c r="C13" i="28"/>
  <c r="AN11" i="28"/>
  <c r="AL11" i="28"/>
  <c r="AJ11" i="28"/>
  <c r="AH11" i="28"/>
  <c r="AD11" i="28"/>
  <c r="AQ11" i="28" s="1"/>
  <c r="AC11" i="28"/>
  <c r="AP11" i="28" s="1"/>
  <c r="AA11" i="28"/>
  <c r="Y11" i="28"/>
  <c r="W11" i="28"/>
  <c r="U11" i="28"/>
  <c r="BG4" i="28"/>
  <c r="BE4" i="28"/>
  <c r="BC4" i="28"/>
  <c r="D4" i="28"/>
  <c r="B5" i="33" s="1"/>
  <c r="I30" i="31"/>
  <c r="I28" i="31"/>
  <c r="I44" i="31"/>
  <c r="AP70" i="27"/>
  <c r="AP71" i="27"/>
  <c r="AP72" i="27"/>
  <c r="B251" i="27"/>
  <c r="D247" i="27"/>
  <c r="D40" i="31" s="1"/>
  <c r="C245" i="27"/>
  <c r="D38" i="31" s="1"/>
  <c r="B233" i="27"/>
  <c r="C231" i="27"/>
  <c r="AU227" i="27"/>
  <c r="AU226" i="27"/>
  <c r="AU225" i="27"/>
  <c r="AP215" i="27"/>
  <c r="AP216" i="27"/>
  <c r="AP217" i="27"/>
  <c r="AP218" i="27"/>
  <c r="C220" i="27"/>
  <c r="AP214" i="27"/>
  <c r="AP206" i="27"/>
  <c r="AP205" i="27"/>
  <c r="AP207" i="27"/>
  <c r="AP208" i="27"/>
  <c r="AP209" i="27"/>
  <c r="C211" i="27"/>
  <c r="AP197" i="27"/>
  <c r="AP196" i="27"/>
  <c r="AP198" i="27"/>
  <c r="AP199" i="27"/>
  <c r="AP200" i="27"/>
  <c r="C202" i="27"/>
  <c r="AU196" i="27"/>
  <c r="AS196" i="27"/>
  <c r="AP188" i="27"/>
  <c r="AP187" i="27"/>
  <c r="AP189" i="27"/>
  <c r="AP190" i="27"/>
  <c r="AP191" i="27"/>
  <c r="C193" i="27"/>
  <c r="AP179" i="27"/>
  <c r="AP180" i="27"/>
  <c r="AP184" i="27" s="1"/>
  <c r="AP181" i="27"/>
  <c r="AP178" i="27"/>
  <c r="AP182" i="27"/>
  <c r="C184" i="27"/>
  <c r="AP170" i="27"/>
  <c r="AP169" i="27"/>
  <c r="AP171" i="27"/>
  <c r="AP172" i="27"/>
  <c r="AP173" i="27"/>
  <c r="C175" i="27"/>
  <c r="AP161" i="27"/>
  <c r="AP162" i="27"/>
  <c r="AP155" i="27"/>
  <c r="AP163" i="27"/>
  <c r="AP164" i="27"/>
  <c r="C166" i="27"/>
  <c r="B151" i="27"/>
  <c r="P149" i="27"/>
  <c r="C149" i="27"/>
  <c r="AP147" i="27"/>
  <c r="AP146" i="27"/>
  <c r="AP145" i="27"/>
  <c r="AP144" i="27"/>
  <c r="AP143" i="27"/>
  <c r="AP149" i="27" s="1"/>
  <c r="P140" i="27"/>
  <c r="C140" i="27"/>
  <c r="AP138" i="27"/>
  <c r="AP137" i="27"/>
  <c r="AP136" i="27"/>
  <c r="AP135" i="27"/>
  <c r="AP134" i="27"/>
  <c r="P131" i="27"/>
  <c r="C131" i="27"/>
  <c r="AP129" i="27"/>
  <c r="AP128" i="27"/>
  <c r="AP127" i="27"/>
  <c r="AP126" i="27"/>
  <c r="AP125" i="27"/>
  <c r="P122" i="27"/>
  <c r="C122" i="27"/>
  <c r="AP120" i="27"/>
  <c r="AP119" i="27"/>
  <c r="AP118" i="27"/>
  <c r="AP117" i="27"/>
  <c r="AP116" i="27"/>
  <c r="P113" i="27"/>
  <c r="C113" i="27"/>
  <c r="AP111" i="27"/>
  <c r="AP110" i="27"/>
  <c r="AP109" i="27"/>
  <c r="AP108" i="27"/>
  <c r="AP107" i="27"/>
  <c r="B103" i="27"/>
  <c r="AC101" i="27"/>
  <c r="C101" i="27"/>
  <c r="O96" i="34"/>
  <c r="AP95" i="27"/>
  <c r="AC92" i="27"/>
  <c r="C92" i="27"/>
  <c r="B76" i="27"/>
  <c r="B67" i="27"/>
  <c r="D65" i="27"/>
  <c r="AN64" i="27"/>
  <c r="AL64" i="27"/>
  <c r="AJ64" i="27"/>
  <c r="AH64" i="27"/>
  <c r="D62" i="27"/>
  <c r="AN61" i="27"/>
  <c r="AL61" i="27"/>
  <c r="AJ61" i="27"/>
  <c r="AH61" i="27"/>
  <c r="D59" i="27"/>
  <c r="AN58" i="27"/>
  <c r="AL58" i="27"/>
  <c r="AJ58" i="27"/>
  <c r="AH58" i="27"/>
  <c r="D56" i="27"/>
  <c r="AN55" i="27"/>
  <c r="AL55" i="27"/>
  <c r="AJ55" i="27"/>
  <c r="AH55" i="27"/>
  <c r="D53" i="27"/>
  <c r="AN52" i="27"/>
  <c r="AL52" i="27"/>
  <c r="AJ52" i="27"/>
  <c r="AH52" i="27"/>
  <c r="D50" i="27"/>
  <c r="AN49" i="27"/>
  <c r="AL49" i="27"/>
  <c r="AJ49" i="27"/>
  <c r="AH49" i="27"/>
  <c r="D47" i="27"/>
  <c r="AN46" i="27"/>
  <c r="AL46" i="27"/>
  <c r="AJ46" i="27"/>
  <c r="AH46" i="27"/>
  <c r="B43" i="27"/>
  <c r="D41" i="27"/>
  <c r="AN40" i="27"/>
  <c r="AL40" i="27"/>
  <c r="AJ40" i="27"/>
  <c r="AH40" i="27"/>
  <c r="D38" i="27"/>
  <c r="AN37" i="27"/>
  <c r="AL37" i="27"/>
  <c r="AJ37" i="27"/>
  <c r="AH37" i="27"/>
  <c r="D35" i="27"/>
  <c r="AN34" i="27"/>
  <c r="AN13" i="27"/>
  <c r="AN16" i="27"/>
  <c r="AN19" i="27"/>
  <c r="AN22" i="27"/>
  <c r="AN25" i="27"/>
  <c r="AN28" i="27"/>
  <c r="AN31" i="27"/>
  <c r="AL34" i="27"/>
  <c r="AJ34" i="27"/>
  <c r="AH34" i="27"/>
  <c r="D32" i="27"/>
  <c r="AL31" i="27"/>
  <c r="AJ31" i="27"/>
  <c r="AH31" i="27"/>
  <c r="AH13" i="27"/>
  <c r="AH16" i="27"/>
  <c r="AH19" i="27"/>
  <c r="AH22" i="27"/>
  <c r="AH25" i="27"/>
  <c r="AH28" i="27"/>
  <c r="D29" i="27"/>
  <c r="AL28" i="27"/>
  <c r="AJ28" i="27"/>
  <c r="D26" i="27"/>
  <c r="AL25" i="27"/>
  <c r="AJ25" i="27"/>
  <c r="D23" i="27"/>
  <c r="AL22" i="27"/>
  <c r="AL13" i="27"/>
  <c r="AL16" i="27"/>
  <c r="AL19" i="27"/>
  <c r="AJ22" i="27"/>
  <c r="D20" i="27"/>
  <c r="AJ19" i="27"/>
  <c r="D17" i="27"/>
  <c r="AJ16" i="27"/>
  <c r="D14" i="27"/>
  <c r="AJ13" i="27"/>
  <c r="C13" i="27"/>
  <c r="AN11" i="27"/>
  <c r="AL11" i="27"/>
  <c r="AJ11" i="27"/>
  <c r="AH11" i="27"/>
  <c r="AD11" i="27"/>
  <c r="AQ11" i="27"/>
  <c r="AC11" i="27"/>
  <c r="AP11" i="27" s="1"/>
  <c r="AA11" i="27"/>
  <c r="Y11" i="27"/>
  <c r="W11" i="27"/>
  <c r="U11" i="27"/>
  <c r="BG4" i="27"/>
  <c r="BE4" i="27"/>
  <c r="BC4" i="27"/>
  <c r="D4" i="27"/>
  <c r="B5" i="31" s="1"/>
  <c r="G36" i="30"/>
  <c r="G34" i="30"/>
  <c r="G33" i="30"/>
  <c r="I30" i="30"/>
  <c r="I28" i="30"/>
  <c r="I44" i="30" s="1"/>
  <c r="AQ70" i="24"/>
  <c r="AQ71" i="24"/>
  <c r="AQ72" i="24"/>
  <c r="B251" i="24"/>
  <c r="D247" i="24"/>
  <c r="D40" i="30" s="1"/>
  <c r="C245" i="24"/>
  <c r="D38" i="30" s="1"/>
  <c r="B233" i="24"/>
  <c r="C231" i="24"/>
  <c r="AU227" i="24"/>
  <c r="AU226" i="24"/>
  <c r="AU225" i="24"/>
  <c r="AP215" i="24"/>
  <c r="AP216" i="24"/>
  <c r="AP217" i="24"/>
  <c r="AP218" i="24"/>
  <c r="AP220" i="24" s="1"/>
  <c r="AP214" i="24"/>
  <c r="C220" i="24"/>
  <c r="AP206" i="24"/>
  <c r="AP207" i="24"/>
  <c r="AP208" i="24"/>
  <c r="AP209" i="24"/>
  <c r="C211" i="24"/>
  <c r="AP205" i="24"/>
  <c r="AP197" i="24"/>
  <c r="AP198" i="24"/>
  <c r="AP199" i="24"/>
  <c r="AP200" i="24"/>
  <c r="C202" i="24"/>
  <c r="AU196" i="24"/>
  <c r="AS196" i="24"/>
  <c r="AP196" i="24"/>
  <c r="AP202" i="24" s="1"/>
  <c r="AP188" i="24"/>
  <c r="AP189" i="24"/>
  <c r="AP190" i="24"/>
  <c r="AP191" i="24"/>
  <c r="AP187" i="24"/>
  <c r="C193" i="24"/>
  <c r="AP179" i="24"/>
  <c r="AP178" i="24"/>
  <c r="AP180" i="24"/>
  <c r="AP181" i="24"/>
  <c r="AP182" i="24"/>
  <c r="C184" i="24"/>
  <c r="AP170" i="24"/>
  <c r="AP171" i="24"/>
  <c r="AP172" i="24"/>
  <c r="AP173" i="24"/>
  <c r="AP175" i="24" s="1"/>
  <c r="C175" i="24"/>
  <c r="AP169" i="24"/>
  <c r="AP156" i="24"/>
  <c r="AP157" i="24"/>
  <c r="AP158" i="24"/>
  <c r="AP164" i="24"/>
  <c r="C166" i="24"/>
  <c r="AP155" i="24"/>
  <c r="AQ166" i="24" s="1"/>
  <c r="B151" i="24"/>
  <c r="P149" i="24"/>
  <c r="C149" i="24"/>
  <c r="AP147" i="24"/>
  <c r="AP146" i="24"/>
  <c r="AP145" i="24"/>
  <c r="AP144" i="24"/>
  <c r="AP143" i="24"/>
  <c r="P140" i="24"/>
  <c r="C140" i="24"/>
  <c r="AP138" i="24"/>
  <c r="AP137" i="24"/>
  <c r="AP136" i="24"/>
  <c r="AP135" i="24"/>
  <c r="AP134" i="24"/>
  <c r="P131" i="24"/>
  <c r="C131" i="24"/>
  <c r="AP129" i="24"/>
  <c r="AP128" i="24"/>
  <c r="AP127" i="24"/>
  <c r="AP126" i="24"/>
  <c r="AP125" i="24"/>
  <c r="P122" i="24"/>
  <c r="P113" i="24"/>
  <c r="C122" i="24"/>
  <c r="AP120" i="24"/>
  <c r="AP119" i="24"/>
  <c r="AP118" i="24"/>
  <c r="AP117" i="24"/>
  <c r="AP116" i="24"/>
  <c r="C113" i="24"/>
  <c r="AP111" i="24"/>
  <c r="AP110" i="24"/>
  <c r="AP107" i="24"/>
  <c r="AP108" i="24"/>
  <c r="AP109" i="24"/>
  <c r="B103" i="24"/>
  <c r="AP95" i="24"/>
  <c r="AC101" i="24"/>
  <c r="AD92" i="24"/>
  <c r="AC103" i="24" s="1"/>
  <c r="G16" i="30" s="1"/>
  <c r="C101" i="24"/>
  <c r="C92" i="24"/>
  <c r="B76" i="24"/>
  <c r="B67" i="24"/>
  <c r="D65" i="24"/>
  <c r="D62" i="24"/>
  <c r="D59" i="24"/>
  <c r="D56" i="24"/>
  <c r="D53" i="24"/>
  <c r="D50" i="24"/>
  <c r="D47" i="24"/>
  <c r="B43" i="24"/>
  <c r="D41" i="24"/>
  <c r="D38" i="24"/>
  <c r="D35" i="24"/>
  <c r="D32" i="24"/>
  <c r="D29" i="24"/>
  <c r="D26" i="24"/>
  <c r="D23" i="24"/>
  <c r="D20" i="24"/>
  <c r="D17" i="24"/>
  <c r="D14" i="24"/>
  <c r="C13" i="24"/>
  <c r="AN11" i="24"/>
  <c r="AL11" i="24"/>
  <c r="AJ11" i="24"/>
  <c r="AH11" i="24"/>
  <c r="AA11" i="24"/>
  <c r="Y11" i="24"/>
  <c r="W11" i="24"/>
  <c r="U11" i="24"/>
  <c r="BG4" i="24"/>
  <c r="BE4" i="24"/>
  <c r="BC4" i="24"/>
  <c r="D4" i="24"/>
  <c r="E4" i="41" s="1"/>
  <c r="I30" i="29"/>
  <c r="I28" i="29"/>
  <c r="I44" i="29" s="1"/>
  <c r="AP70" i="23"/>
  <c r="AP71" i="23"/>
  <c r="AP72" i="23"/>
  <c r="B251" i="23"/>
  <c r="D247" i="23"/>
  <c r="D40" i="29" s="1"/>
  <c r="C245" i="23"/>
  <c r="D38" i="29" s="1"/>
  <c r="B233" i="23"/>
  <c r="AC231" i="23"/>
  <c r="C231" i="23"/>
  <c r="AP229" i="23"/>
  <c r="AU227" i="23"/>
  <c r="AU226" i="23"/>
  <c r="AU225" i="23"/>
  <c r="AP215" i="23"/>
  <c r="AP216" i="23"/>
  <c r="AP214" i="23"/>
  <c r="AP217" i="23"/>
  <c r="AP218" i="23"/>
  <c r="C220" i="23"/>
  <c r="AP206" i="23"/>
  <c r="AP205" i="23"/>
  <c r="AP207" i="23"/>
  <c r="AP208" i="23"/>
  <c r="AP211" i="23" s="1"/>
  <c r="AP209" i="23"/>
  <c r="C211" i="23"/>
  <c r="AP197" i="23"/>
  <c r="AP196" i="23"/>
  <c r="AP198" i="23"/>
  <c r="AP199" i="23"/>
  <c r="AP200" i="23"/>
  <c r="C202" i="23"/>
  <c r="AU196" i="23"/>
  <c r="AS196" i="23"/>
  <c r="AP188" i="23"/>
  <c r="AP189" i="23"/>
  <c r="AP190" i="23"/>
  <c r="AP191" i="23"/>
  <c r="C193" i="23"/>
  <c r="AP187" i="23"/>
  <c r="AP179" i="23"/>
  <c r="AP180" i="23"/>
  <c r="AP181" i="23"/>
  <c r="AP178" i="23"/>
  <c r="AP182" i="23"/>
  <c r="C184" i="23"/>
  <c r="AP170" i="23"/>
  <c r="AP169" i="23"/>
  <c r="AP171" i="23"/>
  <c r="AP172" i="23"/>
  <c r="AP173" i="23"/>
  <c r="C175" i="23"/>
  <c r="AP156" i="23"/>
  <c r="AP157" i="23"/>
  <c r="AP158" i="23"/>
  <c r="AP155" i="23"/>
  <c r="AP164" i="23"/>
  <c r="C166" i="23"/>
  <c r="B151" i="23"/>
  <c r="AC149" i="23"/>
  <c r="P149" i="23"/>
  <c r="C149" i="23"/>
  <c r="AP147" i="23"/>
  <c r="AP146" i="23"/>
  <c r="AP145" i="23"/>
  <c r="AP144" i="23"/>
  <c r="AP143" i="23"/>
  <c r="AC140" i="23"/>
  <c r="P140" i="23"/>
  <c r="C140" i="23"/>
  <c r="AP138" i="23"/>
  <c r="AP137" i="23"/>
  <c r="AP136" i="23"/>
  <c r="AP135" i="23"/>
  <c r="AP134" i="23"/>
  <c r="AC131" i="23"/>
  <c r="P131" i="23"/>
  <c r="C131" i="23"/>
  <c r="AP129" i="23"/>
  <c r="AP128" i="23"/>
  <c r="AP127" i="23"/>
  <c r="AP126" i="23"/>
  <c r="AP125" i="23"/>
  <c r="AC122" i="23"/>
  <c r="P122" i="23"/>
  <c r="C122" i="23"/>
  <c r="AP120" i="23"/>
  <c r="AP119" i="23"/>
  <c r="AP118" i="23"/>
  <c r="AP117" i="23"/>
  <c r="AP116" i="23"/>
  <c r="AP107" i="23"/>
  <c r="AP108" i="23"/>
  <c r="AP109" i="23"/>
  <c r="AP110" i="23"/>
  <c r="AP111" i="23"/>
  <c r="AC113" i="23"/>
  <c r="P113" i="23"/>
  <c r="C113" i="23"/>
  <c r="B103" i="23"/>
  <c r="AP95" i="23"/>
  <c r="AC101" i="23"/>
  <c r="C101" i="23"/>
  <c r="AC92" i="23"/>
  <c r="C92" i="23"/>
  <c r="B76" i="23"/>
  <c r="B67" i="23"/>
  <c r="D65" i="23"/>
  <c r="AN64" i="24"/>
  <c r="AL64" i="24"/>
  <c r="AJ64" i="24"/>
  <c r="AH64" i="24"/>
  <c r="D64" i="23"/>
  <c r="D64" i="24" s="1"/>
  <c r="D64" i="27" s="1"/>
  <c r="D64" i="28" s="1"/>
  <c r="D62" i="23"/>
  <c r="AN61" i="24"/>
  <c r="AL61" i="24"/>
  <c r="AJ61" i="24"/>
  <c r="AH61" i="24"/>
  <c r="D61" i="23"/>
  <c r="D61" i="24" s="1"/>
  <c r="D61" i="27" s="1"/>
  <c r="D61" i="28" s="1"/>
  <c r="D59" i="23"/>
  <c r="AN58" i="24"/>
  <c r="AL58" i="24"/>
  <c r="AJ58" i="24"/>
  <c r="AH58" i="24"/>
  <c r="D58" i="23"/>
  <c r="D58" i="24" s="1"/>
  <c r="D58" i="27" s="1"/>
  <c r="D58" i="28" s="1"/>
  <c r="D56" i="23"/>
  <c r="AN55" i="24"/>
  <c r="AL55" i="24"/>
  <c r="AJ55" i="24"/>
  <c r="AH55" i="24"/>
  <c r="D55" i="23"/>
  <c r="D55" i="24" s="1"/>
  <c r="D55" i="27" s="1"/>
  <c r="D55" i="28" s="1"/>
  <c r="D53" i="23"/>
  <c r="AN52" i="24"/>
  <c r="AL52" i="24"/>
  <c r="AJ52" i="24"/>
  <c r="AH52" i="24"/>
  <c r="D52" i="23"/>
  <c r="D52" i="24" s="1"/>
  <c r="D52" i="27" s="1"/>
  <c r="D52" i="28" s="1"/>
  <c r="D50" i="23"/>
  <c r="AN49" i="24"/>
  <c r="AL49" i="24"/>
  <c r="AJ49" i="24"/>
  <c r="AH49" i="23"/>
  <c r="D49" i="23"/>
  <c r="D49" i="24" s="1"/>
  <c r="D47" i="23"/>
  <c r="AN46" i="24"/>
  <c r="AL46" i="23"/>
  <c r="AJ46" i="24"/>
  <c r="AH46" i="24"/>
  <c r="D46" i="23"/>
  <c r="D46" i="24" s="1"/>
  <c r="B43" i="23"/>
  <c r="D41" i="23"/>
  <c r="N40" i="23"/>
  <c r="L40" i="23"/>
  <c r="AL40" i="23" s="1"/>
  <c r="J40" i="23"/>
  <c r="AJ40" i="23" s="1"/>
  <c r="H40" i="23"/>
  <c r="D40" i="23"/>
  <c r="D40" i="24" s="1"/>
  <c r="D40" i="34" s="1"/>
  <c r="D38" i="23"/>
  <c r="N37" i="23"/>
  <c r="AN37" i="23" s="1"/>
  <c r="L37" i="23"/>
  <c r="L37" i="24" s="1"/>
  <c r="AL37" i="24" s="1"/>
  <c r="J37" i="23"/>
  <c r="J37" i="24" s="1"/>
  <c r="AJ37" i="24" s="1"/>
  <c r="H37" i="23"/>
  <c r="D37" i="23"/>
  <c r="AC37" i="23" s="1"/>
  <c r="D35" i="23"/>
  <c r="N34" i="23"/>
  <c r="AN34" i="23" s="1"/>
  <c r="L34" i="23"/>
  <c r="L34" i="24" s="1"/>
  <c r="AL34" i="24" s="1"/>
  <c r="J34" i="23"/>
  <c r="H34" i="23"/>
  <c r="AH34" i="23" s="1"/>
  <c r="D34" i="23"/>
  <c r="AC34" i="23" s="1"/>
  <c r="AD35" i="23" s="1"/>
  <c r="D32" i="23"/>
  <c r="N31" i="23"/>
  <c r="N31" i="24" s="1"/>
  <c r="AN31" i="24" s="1"/>
  <c r="L31" i="23"/>
  <c r="J31" i="23"/>
  <c r="AJ31" i="23" s="1"/>
  <c r="H31" i="23"/>
  <c r="AH31" i="23" s="1"/>
  <c r="D31" i="23"/>
  <c r="D29" i="23"/>
  <c r="N28" i="23"/>
  <c r="N28" i="24" s="1"/>
  <c r="AN28" i="24" s="1"/>
  <c r="L28" i="23"/>
  <c r="L28" i="24" s="1"/>
  <c r="AL28" i="24" s="1"/>
  <c r="J28" i="23"/>
  <c r="H28" i="23"/>
  <c r="H28" i="24" s="1"/>
  <c r="AH28" i="24" s="1"/>
  <c r="D28" i="23"/>
  <c r="D28" i="24" s="1"/>
  <c r="F28" i="24" s="1"/>
  <c r="D26" i="23"/>
  <c r="AH25" i="24"/>
  <c r="D23" i="23"/>
  <c r="AJ22" i="24"/>
  <c r="D20" i="23"/>
  <c r="AN19" i="24"/>
  <c r="AL19" i="24"/>
  <c r="AJ19" i="24"/>
  <c r="AH19" i="23"/>
  <c r="D17" i="23"/>
  <c r="AN16" i="24"/>
  <c r="AL16" i="24"/>
  <c r="AJ16" i="23"/>
  <c r="AH16" i="24"/>
  <c r="D14" i="23"/>
  <c r="AN13" i="24"/>
  <c r="AL13" i="24"/>
  <c r="AJ13" i="24"/>
  <c r="C13" i="23"/>
  <c r="AN11" i="23"/>
  <c r="AL11" i="23"/>
  <c r="AJ11" i="23"/>
  <c r="AH11" i="23"/>
  <c r="AD11" i="23"/>
  <c r="AQ11" i="23" s="1"/>
  <c r="AC11" i="23"/>
  <c r="AP11" i="23" s="1"/>
  <c r="AA11" i="23"/>
  <c r="Y11" i="23"/>
  <c r="W11" i="23"/>
  <c r="U11" i="23"/>
  <c r="BG4" i="23"/>
  <c r="BE4" i="23"/>
  <c r="BC4" i="23"/>
  <c r="D4" i="23"/>
  <c r="E4" i="40" s="1"/>
  <c r="E82" i="15"/>
  <c r="D74" i="15"/>
  <c r="D70" i="15"/>
  <c r="E69" i="15"/>
  <c r="E68" i="15"/>
  <c r="E67" i="15"/>
  <c r="D66" i="15"/>
  <c r="E59" i="15"/>
  <c r="E54" i="15"/>
  <c r="E55" i="15"/>
  <c r="G55" i="15"/>
  <c r="E46" i="15"/>
  <c r="G45" i="15"/>
  <c r="E45" i="15"/>
  <c r="G44" i="15"/>
  <c r="E44" i="15"/>
  <c r="E43" i="15"/>
  <c r="D37" i="15"/>
  <c r="D35" i="15"/>
  <c r="D27" i="15"/>
  <c r="I30" i="14"/>
  <c r="I28" i="14"/>
  <c r="AP70" i="1"/>
  <c r="AP71" i="1"/>
  <c r="AP72" i="1"/>
  <c r="M14" i="14"/>
  <c r="G14" i="14"/>
  <c r="E14" i="14"/>
  <c r="D13" i="12" s="1"/>
  <c r="H13" i="12" s="1"/>
  <c r="M12" i="14"/>
  <c r="G12" i="14"/>
  <c r="E12" i="14"/>
  <c r="D12" i="12" s="1"/>
  <c r="D20" i="12" s="1"/>
  <c r="B251" i="1"/>
  <c r="D247" i="1"/>
  <c r="D40" i="14" s="1"/>
  <c r="C245" i="1"/>
  <c r="D38" i="14" s="1"/>
  <c r="B233" i="1"/>
  <c r="C231" i="1"/>
  <c r="AP229" i="1"/>
  <c r="AU227" i="1"/>
  <c r="AU226" i="1"/>
  <c r="AU225" i="1"/>
  <c r="AP215" i="1"/>
  <c r="AP214" i="1"/>
  <c r="AP216" i="1"/>
  <c r="AP217" i="1"/>
  <c r="AP218" i="1"/>
  <c r="C220" i="1"/>
  <c r="AP206" i="1"/>
  <c r="AP207" i="1"/>
  <c r="AP208" i="1"/>
  <c r="AP205" i="1"/>
  <c r="AP209" i="1"/>
  <c r="C211" i="1"/>
  <c r="AP197" i="1"/>
  <c r="AP198" i="1"/>
  <c r="AP199" i="1"/>
  <c r="AP196" i="1"/>
  <c r="AP200" i="1"/>
  <c r="C202" i="1"/>
  <c r="AU196" i="1"/>
  <c r="AS196" i="1"/>
  <c r="AP188" i="1"/>
  <c r="AP189" i="1"/>
  <c r="AP190" i="1"/>
  <c r="AP191" i="1"/>
  <c r="C193" i="1"/>
  <c r="AP187" i="1"/>
  <c r="AP179" i="1"/>
  <c r="AP180" i="1"/>
  <c r="AP181" i="1"/>
  <c r="AP182" i="1"/>
  <c r="C184" i="1"/>
  <c r="AP178" i="1"/>
  <c r="AP170" i="1"/>
  <c r="AP169" i="1"/>
  <c r="AP171" i="1"/>
  <c r="AP172" i="1"/>
  <c r="AP173" i="1"/>
  <c r="C175" i="1"/>
  <c r="AP156" i="1"/>
  <c r="AP162" i="1"/>
  <c r="AP163" i="1"/>
  <c r="AP164" i="1"/>
  <c r="AP155" i="1"/>
  <c r="C166" i="1"/>
  <c r="B151" i="1"/>
  <c r="AC149" i="1"/>
  <c r="AC113" i="1"/>
  <c r="AC122" i="1"/>
  <c r="AC131" i="1"/>
  <c r="AC140" i="1"/>
  <c r="P149" i="1"/>
  <c r="C149" i="1"/>
  <c r="AP147" i="1"/>
  <c r="AP146" i="1"/>
  <c r="AP145" i="1"/>
  <c r="AP144" i="1"/>
  <c r="AP143" i="1"/>
  <c r="P140" i="1"/>
  <c r="C140" i="1"/>
  <c r="AP138" i="1"/>
  <c r="AP137" i="1"/>
  <c r="AP136" i="1"/>
  <c r="AP135" i="1"/>
  <c r="AP140" i="1" s="1"/>
  <c r="AP134" i="1"/>
  <c r="P131" i="1"/>
  <c r="P113" i="1"/>
  <c r="P122" i="1"/>
  <c r="C131" i="1"/>
  <c r="AP129" i="1"/>
  <c r="AP128" i="1"/>
  <c r="AP127" i="1"/>
  <c r="AP131" i="1" s="1"/>
  <c r="AP126" i="1"/>
  <c r="AP125" i="1"/>
  <c r="C122" i="1"/>
  <c r="AP120" i="1"/>
  <c r="AP119" i="1"/>
  <c r="AP118" i="1"/>
  <c r="AP117" i="1"/>
  <c r="AP116" i="1"/>
  <c r="C113" i="1"/>
  <c r="AP111" i="1"/>
  <c r="AP110" i="1"/>
  <c r="AP109" i="1"/>
  <c r="AP108" i="1"/>
  <c r="AP107" i="1"/>
  <c r="B103" i="1"/>
  <c r="AC101" i="1"/>
  <c r="C101" i="1"/>
  <c r="AC92" i="1"/>
  <c r="C92" i="1"/>
  <c r="F88" i="34"/>
  <c r="F87" i="34"/>
  <c r="B76" i="1"/>
  <c r="B67" i="1"/>
  <c r="D65" i="1"/>
  <c r="AN64" i="1"/>
  <c r="AL64" i="1"/>
  <c r="AJ64" i="1"/>
  <c r="AH64" i="1"/>
  <c r="D62" i="1"/>
  <c r="AN61" i="1"/>
  <c r="AL61" i="1"/>
  <c r="AJ61" i="1"/>
  <c r="AH61" i="1"/>
  <c r="D59" i="1"/>
  <c r="AN58" i="1"/>
  <c r="AL58" i="1"/>
  <c r="AJ58" i="1"/>
  <c r="AH58" i="1"/>
  <c r="D56" i="1"/>
  <c r="AN55" i="1"/>
  <c r="AL55" i="1"/>
  <c r="AJ55" i="1"/>
  <c r="AH55" i="1"/>
  <c r="D53" i="1"/>
  <c r="AN52" i="1"/>
  <c r="AL52" i="1"/>
  <c r="AJ52" i="1"/>
  <c r="AH52" i="1"/>
  <c r="D50" i="1"/>
  <c r="AN49" i="1"/>
  <c r="AL49" i="1"/>
  <c r="AJ49" i="1"/>
  <c r="AH49" i="1"/>
  <c r="D47" i="1"/>
  <c r="AN46" i="1"/>
  <c r="AL46" i="1"/>
  <c r="AJ46" i="1"/>
  <c r="AH46" i="1"/>
  <c r="B43" i="1"/>
  <c r="D41" i="1"/>
  <c r="AN40" i="1"/>
  <c r="AL40" i="1"/>
  <c r="AJ40" i="1"/>
  <c r="AH40" i="1"/>
  <c r="D38" i="1"/>
  <c r="AN37" i="1"/>
  <c r="AL37" i="1"/>
  <c r="AJ37" i="1"/>
  <c r="AH37" i="1"/>
  <c r="D35" i="1"/>
  <c r="AN34" i="1"/>
  <c r="AL34" i="1"/>
  <c r="AJ34" i="1"/>
  <c r="AH34" i="1"/>
  <c r="D32" i="1"/>
  <c r="AN31" i="1"/>
  <c r="AL31" i="1"/>
  <c r="AJ31" i="1"/>
  <c r="AJ25" i="1"/>
  <c r="AJ13" i="1"/>
  <c r="AJ16" i="1"/>
  <c r="AJ19" i="1"/>
  <c r="AJ22" i="1"/>
  <c r="AJ28" i="1"/>
  <c r="AH31" i="1"/>
  <c r="D29" i="1"/>
  <c r="AN28" i="1"/>
  <c r="AL28" i="1"/>
  <c r="AL25" i="1"/>
  <c r="AL13" i="1"/>
  <c r="AL16" i="1"/>
  <c r="AL19" i="1"/>
  <c r="AL22" i="1"/>
  <c r="AH28" i="1"/>
  <c r="D26" i="1"/>
  <c r="AN25" i="1"/>
  <c r="AH25" i="1"/>
  <c r="D23" i="1"/>
  <c r="AN22" i="1"/>
  <c r="AH22" i="1"/>
  <c r="D20" i="1"/>
  <c r="AN19" i="1"/>
  <c r="AN13" i="1"/>
  <c r="AN16" i="1"/>
  <c r="D17" i="1"/>
  <c r="D14" i="1"/>
  <c r="C13" i="1"/>
  <c r="AN11" i="1"/>
  <c r="AL11" i="1"/>
  <c r="AJ11" i="1"/>
  <c r="AH11" i="1"/>
  <c r="AD11" i="1"/>
  <c r="AQ11" i="1" s="1"/>
  <c r="AC11" i="1"/>
  <c r="AP11" i="1" s="1"/>
  <c r="AA11" i="1"/>
  <c r="Y11" i="1"/>
  <c r="W11" i="1"/>
  <c r="U11" i="1"/>
  <c r="BG4" i="1"/>
  <c r="BE4" i="1"/>
  <c r="BC4" i="1"/>
  <c r="D4" i="1"/>
  <c r="B5" i="14" s="1"/>
  <c r="W313" i="22"/>
  <c r="AA313" i="22" s="1"/>
  <c r="W312" i="22"/>
  <c r="AA312" i="22" s="1"/>
  <c r="W311" i="22"/>
  <c r="AA311" i="22" s="1"/>
  <c r="W310" i="22"/>
  <c r="AA310" i="22" s="1"/>
  <c r="W309" i="22"/>
  <c r="AA309" i="22" s="1"/>
  <c r="AU290" i="22"/>
  <c r="BC290" i="22" s="1"/>
  <c r="BK290" i="22" s="1"/>
  <c r="BM290" i="22" s="1"/>
  <c r="I269" i="22"/>
  <c r="I270" i="22" s="1"/>
  <c r="M237" i="22"/>
  <c r="M233" i="22"/>
  <c r="M232" i="22"/>
  <c r="M231" i="22"/>
  <c r="M229" i="22"/>
  <c r="M228" i="22"/>
  <c r="M227" i="22"/>
  <c r="M226" i="22"/>
  <c r="M225" i="22"/>
  <c r="M224" i="22"/>
  <c r="M222" i="22"/>
  <c r="M221" i="22"/>
  <c r="M219" i="22"/>
  <c r="M218" i="22"/>
  <c r="M217" i="22"/>
  <c r="M216" i="22"/>
  <c r="M215" i="22"/>
  <c r="M214" i="22"/>
  <c r="M213" i="22"/>
  <c r="M211" i="22"/>
  <c r="M210" i="22"/>
  <c r="M209" i="22"/>
  <c r="M208" i="22"/>
  <c r="M207" i="22"/>
  <c r="M206" i="22"/>
  <c r="M205" i="22"/>
  <c r="M204" i="22"/>
  <c r="M203" i="22"/>
  <c r="M202" i="22"/>
  <c r="M201" i="22"/>
  <c r="M200" i="22"/>
  <c r="M199" i="22"/>
  <c r="M197" i="22"/>
  <c r="M196" i="22"/>
  <c r="M195" i="22"/>
  <c r="M194" i="22"/>
  <c r="M192" i="22"/>
  <c r="M191" i="22"/>
  <c r="M189" i="22"/>
  <c r="M188" i="22"/>
  <c r="M187" i="22"/>
  <c r="M186" i="22"/>
  <c r="M184" i="22"/>
  <c r="M181" i="22"/>
  <c r="M180" i="22"/>
  <c r="M178" i="22"/>
  <c r="M177" i="22"/>
  <c r="M176" i="22"/>
  <c r="M175" i="22"/>
  <c r="M174" i="22"/>
  <c r="P170" i="22"/>
  <c r="Q170" i="22" s="1"/>
  <c r="M170" i="22"/>
  <c r="M169" i="22"/>
  <c r="M168" i="22"/>
  <c r="M167" i="22"/>
  <c r="Q166" i="22"/>
  <c r="M166" i="22"/>
  <c r="Q165" i="22"/>
  <c r="M165" i="22"/>
  <c r="M164" i="22"/>
  <c r="AI121" i="22"/>
  <c r="AI142" i="22" s="1"/>
  <c r="Q142" i="22"/>
  <c r="O142" i="22"/>
  <c r="AG121" i="22"/>
  <c r="AG142" i="22" s="1"/>
  <c r="AF87" i="22"/>
  <c r="P87" i="22"/>
  <c r="F75" i="22"/>
  <c r="O64" i="22"/>
  <c r="O62" i="22"/>
  <c r="AS36" i="22"/>
  <c r="S28" i="22"/>
  <c r="S24" i="22"/>
  <c r="C249" i="34" s="1"/>
  <c r="G14" i="9"/>
  <c r="G18" i="29"/>
  <c r="G22" i="32"/>
  <c r="AP88" i="27"/>
  <c r="AC103" i="27"/>
  <c r="P15" i="9" s="1"/>
  <c r="AP96" i="27"/>
  <c r="O14" i="9"/>
  <c r="I44" i="14"/>
  <c r="G3" i="13" s="1"/>
  <c r="G7" i="13" s="1"/>
  <c r="L14" i="9"/>
  <c r="L20" i="41"/>
  <c r="AP87" i="1"/>
  <c r="AP88" i="1"/>
  <c r="F28" i="1"/>
  <c r="F31" i="1"/>
  <c r="F34" i="1"/>
  <c r="P34" i="1"/>
  <c r="F40" i="1"/>
  <c r="P40" i="1"/>
  <c r="F40" i="34" s="1"/>
  <c r="AC37" i="1"/>
  <c r="AC31" i="1"/>
  <c r="AD32" i="1" s="1"/>
  <c r="AC25" i="1"/>
  <c r="AD26" i="1" s="1"/>
  <c r="P28" i="1"/>
  <c r="Q29" i="1" s="1"/>
  <c r="G29" i="34" s="1"/>
  <c r="AC25" i="23"/>
  <c r="AD26" i="23" s="1"/>
  <c r="BE26" i="23" s="1"/>
  <c r="F37" i="1"/>
  <c r="AC40" i="1"/>
  <c r="AC34" i="1"/>
  <c r="AY34" i="1" s="1"/>
  <c r="AC28" i="1"/>
  <c r="AD29" i="1" s="1"/>
  <c r="P31" i="1"/>
  <c r="Q32" i="1" s="1"/>
  <c r="G32" i="34" s="1"/>
  <c r="AJ13" i="23"/>
  <c r="AN16" i="23"/>
  <c r="AJ19" i="23"/>
  <c r="AJ25" i="23"/>
  <c r="AN46" i="23"/>
  <c r="AJ49" i="23"/>
  <c r="AN52" i="23"/>
  <c r="AJ55" i="23"/>
  <c r="AN58" i="23"/>
  <c r="AJ61" i="23"/>
  <c r="AH19" i="24"/>
  <c r="AL13" i="23"/>
  <c r="AH16" i="23"/>
  <c r="AL19" i="23"/>
  <c r="AH22" i="23"/>
  <c r="AH46" i="23"/>
  <c r="AL49" i="23"/>
  <c r="AH52" i="23"/>
  <c r="AL55" i="23"/>
  <c r="AH58" i="23"/>
  <c r="AL61" i="23"/>
  <c r="AH64" i="23"/>
  <c r="AH49" i="24"/>
  <c r="AN13" i="23"/>
  <c r="AN19" i="23"/>
  <c r="AJ22" i="23"/>
  <c r="AH40" i="23"/>
  <c r="AJ46" i="23"/>
  <c r="AN49" i="23"/>
  <c r="AJ52" i="23"/>
  <c r="AN55" i="23"/>
  <c r="AJ58" i="23"/>
  <c r="AN61" i="23"/>
  <c r="AJ64" i="23"/>
  <c r="P211" i="23"/>
  <c r="AL46" i="24"/>
  <c r="AL16" i="23"/>
  <c r="AH25" i="23"/>
  <c r="AL52" i="23"/>
  <c r="AH55" i="23"/>
  <c r="AL58" i="23"/>
  <c r="AH61" i="23"/>
  <c r="AL64" i="23"/>
  <c r="AN64" i="23"/>
  <c r="AH13" i="24"/>
  <c r="I99" i="34"/>
  <c r="AH13" i="23"/>
  <c r="P14" i="9"/>
  <c r="F14" i="9"/>
  <c r="R90" i="34"/>
  <c r="AP90" i="28"/>
  <c r="F90" i="34"/>
  <c r="AP90" i="1"/>
  <c r="AJ16" i="24"/>
  <c r="AJ25" i="24"/>
  <c r="AP98" i="27"/>
  <c r="L20" i="39"/>
  <c r="AP97" i="23"/>
  <c r="AP96" i="24"/>
  <c r="AP97" i="24"/>
  <c r="L96" i="34"/>
  <c r="L97" i="34"/>
  <c r="L87" i="34"/>
  <c r="L88" i="34"/>
  <c r="H40" i="24"/>
  <c r="AH40" i="24" s="1"/>
  <c r="AH22" i="24"/>
  <c r="G20" i="30"/>
  <c r="AP84" i="27"/>
  <c r="D25" i="24"/>
  <c r="D25" i="27" s="1"/>
  <c r="F25" i="27" s="1"/>
  <c r="P25" i="27" s="1"/>
  <c r="L25" i="24"/>
  <c r="AL25" i="24" s="1"/>
  <c r="F25" i="23"/>
  <c r="P25" i="23" s="1"/>
  <c r="F18" i="12"/>
  <c r="G18" i="12"/>
  <c r="G22" i="30"/>
  <c r="AP193" i="24"/>
  <c r="E22" i="31"/>
  <c r="E20" i="31"/>
  <c r="K20" i="31" s="1"/>
  <c r="AC151" i="28"/>
  <c r="S16" i="9" s="1"/>
  <c r="P151" i="23"/>
  <c r="I16" i="9"/>
  <c r="AC103" i="28"/>
  <c r="G16" i="32"/>
  <c r="O97" i="34"/>
  <c r="AP89" i="28"/>
  <c r="AH28" i="23"/>
  <c r="AN22" i="23"/>
  <c r="H34" i="24"/>
  <c r="AH34" i="24" s="1"/>
  <c r="AL37" i="23"/>
  <c r="AN25" i="23"/>
  <c r="AP229" i="28"/>
  <c r="AP82" i="27"/>
  <c r="S15" i="9"/>
  <c r="P87" i="23"/>
  <c r="R88" i="34"/>
  <c r="P88" i="23"/>
  <c r="I88" i="34" s="1"/>
  <c r="AQ82" i="24"/>
  <c r="AC103" i="23"/>
  <c r="AP84" i="28"/>
  <c r="P101" i="1"/>
  <c r="P101" i="27"/>
  <c r="AP202" i="1"/>
  <c r="E22" i="14"/>
  <c r="D17" i="12" s="1"/>
  <c r="AP90" i="27"/>
  <c r="F15" i="12"/>
  <c r="AP229" i="27"/>
  <c r="AQ88" i="24"/>
  <c r="AQ87" i="24"/>
  <c r="F81" i="34"/>
  <c r="F99" i="34"/>
  <c r="F96" i="34"/>
  <c r="AQ211" i="24"/>
  <c r="F82" i="34"/>
  <c r="AS151" i="23"/>
  <c r="AU151" i="28"/>
  <c r="AU233" i="28" s="1"/>
  <c r="AC241" i="28" s="1"/>
  <c r="G34" i="32" s="1"/>
  <c r="E4" i="39"/>
  <c r="E20" i="32"/>
  <c r="L16" i="41"/>
  <c r="F97" i="34"/>
  <c r="AP99" i="27"/>
  <c r="K292" i="22"/>
  <c r="K293" i="22" s="1"/>
  <c r="O70" i="22"/>
  <c r="O76" i="22" s="1"/>
  <c r="O78" i="22" s="1"/>
  <c r="AA76" i="22" s="1"/>
  <c r="AA78" i="22" s="1"/>
  <c r="O84" i="22" s="1"/>
  <c r="O86" i="22" s="1"/>
  <c r="AA84" i="22" s="1"/>
  <c r="AA86" i="22" s="1"/>
  <c r="O92" i="22" s="1"/>
  <c r="K18" i="14"/>
  <c r="R16" i="9"/>
  <c r="AS151" i="28"/>
  <c r="E22" i="32"/>
  <c r="K22" i="32" s="1"/>
  <c r="E22" i="29"/>
  <c r="G22" i="31"/>
  <c r="AC233" i="27"/>
  <c r="P17" i="9" s="1"/>
  <c r="E17" i="12"/>
  <c r="E4" i="42" l="1"/>
  <c r="D38" i="33"/>
  <c r="BA121" i="22"/>
  <c r="BA142" i="22" s="1"/>
  <c r="AP83" i="28"/>
  <c r="E4" i="9"/>
  <c r="D4" i="15"/>
  <c r="AP225" i="24"/>
  <c r="BN45" i="11"/>
  <c r="B5" i="29"/>
  <c r="E4" i="44"/>
  <c r="B5" i="32"/>
  <c r="AS225" i="24"/>
  <c r="B5" i="30"/>
  <c r="E4" i="43"/>
  <c r="AP226" i="1"/>
  <c r="F226" i="34"/>
  <c r="D25" i="34"/>
  <c r="F37" i="23"/>
  <c r="D37" i="24"/>
  <c r="D37" i="27" s="1"/>
  <c r="F37" i="27" s="1"/>
  <c r="AS37" i="22"/>
  <c r="O66" i="22" s="1"/>
  <c r="C119" i="22" s="1"/>
  <c r="P16" i="9"/>
  <c r="G26" i="31"/>
  <c r="AU151" i="27"/>
  <c r="AU151" i="24"/>
  <c r="AU233" i="24" s="1"/>
  <c r="AC241" i="24" s="1"/>
  <c r="M16" i="9"/>
  <c r="E5" i="39"/>
  <c r="D11" i="12"/>
  <c r="D5" i="1"/>
  <c r="B6" i="14" s="1"/>
  <c r="I271" i="22"/>
  <c r="O122" i="22"/>
  <c r="AS226" i="1"/>
  <c r="AP101" i="27"/>
  <c r="AP83" i="1"/>
  <c r="L18" i="41"/>
  <c r="F34" i="23"/>
  <c r="L81" i="34"/>
  <c r="AL22" i="23"/>
  <c r="C249" i="27"/>
  <c r="D42" i="31" s="1"/>
  <c r="R82" i="34"/>
  <c r="BC292" i="22"/>
  <c r="AU293" i="22" s="1"/>
  <c r="BB293" i="22" s="1"/>
  <c r="AP149" i="1"/>
  <c r="AC151" i="23"/>
  <c r="F140" i="34"/>
  <c r="V200" i="34"/>
  <c r="I14" i="9"/>
  <c r="AP84" i="1"/>
  <c r="AU233" i="27"/>
  <c r="AC241" i="27" s="1"/>
  <c r="G34" i="31" s="1"/>
  <c r="L14" i="40"/>
  <c r="M15" i="9"/>
  <c r="AP99" i="24"/>
  <c r="L20" i="42"/>
  <c r="BB290" i="22"/>
  <c r="E28" i="14"/>
  <c r="C249" i="23"/>
  <c r="D42" i="29" s="1"/>
  <c r="I28" i="33"/>
  <c r="AP149" i="23"/>
  <c r="AP131" i="28"/>
  <c r="AP149" i="28"/>
  <c r="L20" i="40"/>
  <c r="K22" i="31"/>
  <c r="K18" i="29"/>
  <c r="AP89" i="27"/>
  <c r="AP83" i="27"/>
  <c r="D24" i="12"/>
  <c r="H24" i="12" s="1"/>
  <c r="C249" i="28"/>
  <c r="D42" i="33" s="1"/>
  <c r="C249" i="1"/>
  <c r="D42" i="14" s="1"/>
  <c r="S14" i="9"/>
  <c r="AP113" i="1"/>
  <c r="AP175" i="1"/>
  <c r="I30" i="33"/>
  <c r="AP113" i="23"/>
  <c r="AP122" i="23"/>
  <c r="AP131" i="23"/>
  <c r="AP151" i="23" s="1"/>
  <c r="AP122" i="24"/>
  <c r="AP184" i="24"/>
  <c r="AH43" i="28"/>
  <c r="L84" i="34"/>
  <c r="F46" i="23"/>
  <c r="AC46" i="23" s="1"/>
  <c r="AY46" i="23" s="1"/>
  <c r="AC49" i="1"/>
  <c r="AY49" i="1" s="1"/>
  <c r="P49" i="23"/>
  <c r="AW49" i="23" s="1"/>
  <c r="F46" i="1"/>
  <c r="P46" i="1" s="1"/>
  <c r="Q47" i="1" s="1"/>
  <c r="F49" i="1"/>
  <c r="AC13" i="23"/>
  <c r="AD14" i="23" s="1"/>
  <c r="BE14" i="23" s="1"/>
  <c r="P49" i="1"/>
  <c r="Q50" i="1" s="1"/>
  <c r="G50" i="34" s="1"/>
  <c r="K18" i="30"/>
  <c r="G18" i="33"/>
  <c r="L16" i="39"/>
  <c r="AN28" i="23"/>
  <c r="AL34" i="23"/>
  <c r="D34" i="24"/>
  <c r="D34" i="27" s="1"/>
  <c r="D34" i="28" s="1"/>
  <c r="F34" i="28" s="1"/>
  <c r="K12" i="14"/>
  <c r="M28" i="14" s="1"/>
  <c r="F131" i="34"/>
  <c r="AP98" i="24"/>
  <c r="AP101" i="24" s="1"/>
  <c r="P101" i="24"/>
  <c r="I98" i="34"/>
  <c r="F98" i="34"/>
  <c r="L227" i="34"/>
  <c r="AS227" i="24"/>
  <c r="AU291" i="22"/>
  <c r="AS38" i="22"/>
  <c r="K294" i="22"/>
  <c r="O94" i="22"/>
  <c r="AA92" i="22" s="1"/>
  <c r="AS39" i="22"/>
  <c r="O82" i="22" s="1"/>
  <c r="G16" i="29"/>
  <c r="J15" i="9"/>
  <c r="BK293" i="22"/>
  <c r="BM293" i="22" s="1"/>
  <c r="C123" i="22"/>
  <c r="Q122" i="22"/>
  <c r="K22" i="30"/>
  <c r="G26" i="30"/>
  <c r="G26" i="32"/>
  <c r="AJ43" i="1"/>
  <c r="AL43" i="1"/>
  <c r="AP122" i="1"/>
  <c r="P151" i="1"/>
  <c r="AP220" i="1"/>
  <c r="AP76" i="1"/>
  <c r="M18" i="14" s="1"/>
  <c r="G16" i="31"/>
  <c r="I44" i="33"/>
  <c r="Q64" i="11" s="1"/>
  <c r="C249" i="24"/>
  <c r="D42" i="30" s="1"/>
  <c r="AY121" i="22"/>
  <c r="AY142" i="22" s="1"/>
  <c r="AP122" i="28"/>
  <c r="AP101" i="28"/>
  <c r="AC151" i="1"/>
  <c r="AP166" i="1"/>
  <c r="AP184" i="1"/>
  <c r="AP193" i="1"/>
  <c r="AP211" i="1"/>
  <c r="AJ43" i="27"/>
  <c r="AP140" i="23"/>
  <c r="AP220" i="23"/>
  <c r="AP140" i="24"/>
  <c r="AP122" i="27"/>
  <c r="AP131" i="27"/>
  <c r="AP140" i="28"/>
  <c r="AP175" i="28"/>
  <c r="G22" i="29"/>
  <c r="O290" i="22"/>
  <c r="AP76" i="28"/>
  <c r="M18" i="32" s="1"/>
  <c r="P151" i="27"/>
  <c r="AP113" i="28"/>
  <c r="AP175" i="23"/>
  <c r="AP184" i="23"/>
  <c r="AP193" i="23"/>
  <c r="AP202" i="23"/>
  <c r="AP76" i="23"/>
  <c r="M18" i="29" s="1"/>
  <c r="P151" i="24"/>
  <c r="L16" i="9" s="1"/>
  <c r="AP131" i="24"/>
  <c r="AP149" i="24"/>
  <c r="AP175" i="27"/>
  <c r="AP193" i="27"/>
  <c r="AP202" i="27"/>
  <c r="AP220" i="27"/>
  <c r="AP193" i="28"/>
  <c r="AP202" i="28"/>
  <c r="AP220" i="28"/>
  <c r="L14" i="42"/>
  <c r="AP101" i="1"/>
  <c r="K20" i="30"/>
  <c r="F16" i="12"/>
  <c r="AP166" i="27"/>
  <c r="AL43" i="28"/>
  <c r="N34" i="24"/>
  <c r="AN34" i="24" s="1"/>
  <c r="P34" i="23"/>
  <c r="I34" i="34" s="1"/>
  <c r="AL43" i="27"/>
  <c r="AN43" i="1"/>
  <c r="AN43" i="28"/>
  <c r="L122" i="34"/>
  <c r="V207" i="34"/>
  <c r="O211" i="34"/>
  <c r="V197" i="34"/>
  <c r="L166" i="34"/>
  <c r="V111" i="34"/>
  <c r="L76" i="34"/>
  <c r="O184" i="34"/>
  <c r="L131" i="34"/>
  <c r="I140" i="34"/>
  <c r="F184" i="34"/>
  <c r="L184" i="34"/>
  <c r="V72" i="34"/>
  <c r="V70" i="34"/>
  <c r="L113" i="34"/>
  <c r="R113" i="34"/>
  <c r="V119" i="34"/>
  <c r="V208" i="34"/>
  <c r="I211" i="34"/>
  <c r="V189" i="34"/>
  <c r="V187" i="34"/>
  <c r="O101" i="34"/>
  <c r="V198" i="34"/>
  <c r="V172" i="34"/>
  <c r="O166" i="34"/>
  <c r="V107" i="34"/>
  <c r="R131" i="34"/>
  <c r="R140" i="34"/>
  <c r="V214" i="34"/>
  <c r="V179" i="34"/>
  <c r="R166" i="34"/>
  <c r="I113" i="34"/>
  <c r="L18" i="44"/>
  <c r="R220" i="34"/>
  <c r="D40" i="33"/>
  <c r="R122" i="34"/>
  <c r="R184" i="34"/>
  <c r="R149" i="34"/>
  <c r="R76" i="34"/>
  <c r="R193" i="34"/>
  <c r="R225" i="34"/>
  <c r="AS225" i="28"/>
  <c r="L19" i="43"/>
  <c r="AP225" i="28"/>
  <c r="P231" i="28"/>
  <c r="AS226" i="28"/>
  <c r="R226" i="34"/>
  <c r="AP226" i="28"/>
  <c r="AS227" i="28"/>
  <c r="AP227" i="28"/>
  <c r="R227" i="34"/>
  <c r="G17" i="12"/>
  <c r="R211" i="34"/>
  <c r="R175" i="34"/>
  <c r="O149" i="34"/>
  <c r="V145" i="34"/>
  <c r="O140" i="34"/>
  <c r="V128" i="34"/>
  <c r="O202" i="34"/>
  <c r="O131" i="34"/>
  <c r="V180" i="34"/>
  <c r="O220" i="34"/>
  <c r="AS225" i="27"/>
  <c r="AP225" i="27"/>
  <c r="O225" i="34"/>
  <c r="P231" i="27"/>
  <c r="P233" i="27" s="1"/>
  <c r="AP233" i="27" s="1"/>
  <c r="AP226" i="27"/>
  <c r="AS226" i="27"/>
  <c r="O226" i="34"/>
  <c r="O122" i="34"/>
  <c r="O113" i="34"/>
  <c r="O193" i="34"/>
  <c r="K18" i="31"/>
  <c r="V71" i="34"/>
  <c r="F17" i="12"/>
  <c r="L101" i="34"/>
  <c r="L149" i="34"/>
  <c r="V206" i="34"/>
  <c r="V155" i="34"/>
  <c r="AP226" i="24"/>
  <c r="L226" i="34"/>
  <c r="AS226" i="24"/>
  <c r="V118" i="34"/>
  <c r="V74" i="34"/>
  <c r="V117" i="34"/>
  <c r="L202" i="34"/>
  <c r="K24" i="30"/>
  <c r="AN31" i="23"/>
  <c r="AS225" i="23"/>
  <c r="I225" i="34"/>
  <c r="I220" i="34"/>
  <c r="V109" i="34"/>
  <c r="I193" i="34"/>
  <c r="I184" i="34"/>
  <c r="I76" i="34"/>
  <c r="AP227" i="23"/>
  <c r="AS227" i="23"/>
  <c r="I227" i="34"/>
  <c r="P231" i="23"/>
  <c r="E26" i="29" s="1"/>
  <c r="I226" i="34"/>
  <c r="AP226" i="23"/>
  <c r="AS226" i="23"/>
  <c r="L19" i="40"/>
  <c r="H31" i="24"/>
  <c r="AH31" i="24" s="1"/>
  <c r="V108" i="34"/>
  <c r="I131" i="34"/>
  <c r="AC233" i="23"/>
  <c r="J17" i="9" s="1"/>
  <c r="F37" i="24"/>
  <c r="I122" i="34"/>
  <c r="I175" i="34"/>
  <c r="L40" i="24"/>
  <c r="AL40" i="24" s="1"/>
  <c r="AJ34" i="23"/>
  <c r="V138" i="34"/>
  <c r="I149" i="34"/>
  <c r="V217" i="34"/>
  <c r="I202" i="34"/>
  <c r="K20" i="29"/>
  <c r="F202" i="34"/>
  <c r="K22" i="14"/>
  <c r="P90" i="23"/>
  <c r="AP90" i="23" s="1"/>
  <c r="D16" i="24"/>
  <c r="D16" i="34" s="1"/>
  <c r="AP225" i="1"/>
  <c r="AS225" i="1"/>
  <c r="F225" i="34"/>
  <c r="L83" i="34"/>
  <c r="AQ83" i="24"/>
  <c r="F193" i="34"/>
  <c r="K14" i="14"/>
  <c r="F149" i="34"/>
  <c r="F166" i="34"/>
  <c r="P82" i="23"/>
  <c r="I82" i="34" s="1"/>
  <c r="V82" i="34" s="1"/>
  <c r="E47" i="15"/>
  <c r="P89" i="23"/>
  <c r="AP89" i="23" s="1"/>
  <c r="P83" i="23"/>
  <c r="AP83" i="23" s="1"/>
  <c r="D49" i="27"/>
  <c r="P49" i="24"/>
  <c r="AW49" i="24" s="1"/>
  <c r="F49" i="24"/>
  <c r="AC233" i="1"/>
  <c r="G17" i="9" s="1"/>
  <c r="L19" i="39"/>
  <c r="F227" i="34"/>
  <c r="F101" i="34"/>
  <c r="G28" i="14"/>
  <c r="AC28" i="23"/>
  <c r="AD29" i="23" s="1"/>
  <c r="AJ37" i="23"/>
  <c r="AL28" i="23"/>
  <c r="J31" i="24"/>
  <c r="AJ31" i="24" s="1"/>
  <c r="J34" i="24"/>
  <c r="AJ34" i="24" s="1"/>
  <c r="N37" i="24"/>
  <c r="AN37" i="24" s="1"/>
  <c r="V216" i="34"/>
  <c r="F76" i="34"/>
  <c r="P89" i="24"/>
  <c r="AQ89" i="24" s="1"/>
  <c r="P231" i="1"/>
  <c r="AP227" i="1"/>
  <c r="AC25" i="27"/>
  <c r="AD26" i="27" s="1"/>
  <c r="I90" i="34"/>
  <c r="V90" i="34" s="1"/>
  <c r="F49" i="23"/>
  <c r="H12" i="12"/>
  <c r="J40" i="24"/>
  <c r="AJ40" i="24" s="1"/>
  <c r="E56" i="15"/>
  <c r="F122" i="34"/>
  <c r="V127" i="34"/>
  <c r="V144" i="34"/>
  <c r="V191" i="34"/>
  <c r="P84" i="23"/>
  <c r="H20" i="12"/>
  <c r="B22" i="13"/>
  <c r="D39" i="15"/>
  <c r="G22" i="33"/>
  <c r="D28" i="27"/>
  <c r="P28" i="27" s="1"/>
  <c r="V136" i="34"/>
  <c r="V137" i="34"/>
  <c r="V97" i="34"/>
  <c r="D28" i="34"/>
  <c r="AP88" i="23"/>
  <c r="AC28" i="24"/>
  <c r="AD29" i="24" s="1"/>
  <c r="R87" i="34"/>
  <c r="AP87" i="28"/>
  <c r="K22" i="29"/>
  <c r="G16" i="12"/>
  <c r="O16" i="9"/>
  <c r="AS227" i="27"/>
  <c r="P231" i="24"/>
  <c r="P233" i="24" s="1"/>
  <c r="AP90" i="24"/>
  <c r="V199" i="34"/>
  <c r="V73" i="34"/>
  <c r="V116" i="34"/>
  <c r="L140" i="34"/>
  <c r="R202" i="34"/>
  <c r="K24" i="31"/>
  <c r="R14" i="9"/>
  <c r="L20" i="43"/>
  <c r="L20" i="44" s="1"/>
  <c r="E18" i="32"/>
  <c r="L19" i="41"/>
  <c r="L16" i="40"/>
  <c r="D37" i="28"/>
  <c r="AC37" i="28" s="1"/>
  <c r="E16" i="12"/>
  <c r="AS151" i="24"/>
  <c r="AS151" i="27"/>
  <c r="O227" i="34"/>
  <c r="E20" i="33"/>
  <c r="AC37" i="27"/>
  <c r="AY37" i="27" s="1"/>
  <c r="V99" i="34"/>
  <c r="E22" i="33"/>
  <c r="V88" i="34"/>
  <c r="P92" i="27"/>
  <c r="P103" i="27" s="1"/>
  <c r="D37" i="34"/>
  <c r="AN43" i="27"/>
  <c r="AP113" i="27"/>
  <c r="AP140" i="27"/>
  <c r="AP76" i="27"/>
  <c r="M18" i="31" s="1"/>
  <c r="V125" i="34"/>
  <c r="V209" i="34"/>
  <c r="L211" i="34"/>
  <c r="L193" i="34"/>
  <c r="V188" i="34"/>
  <c r="V169" i="34"/>
  <c r="L175" i="34"/>
  <c r="O175" i="34"/>
  <c r="I166" i="34"/>
  <c r="O76" i="34"/>
  <c r="AP96" i="23"/>
  <c r="AP101" i="23" s="1"/>
  <c r="P101" i="23"/>
  <c r="I96" i="34"/>
  <c r="P101" i="28"/>
  <c r="R98" i="34"/>
  <c r="R101" i="34" s="1"/>
  <c r="AP211" i="27"/>
  <c r="G20" i="32"/>
  <c r="G20" i="33" s="1"/>
  <c r="AC233" i="28"/>
  <c r="S17" i="9" s="1"/>
  <c r="AP229" i="24"/>
  <c r="L229" i="34"/>
  <c r="V229" i="34" s="1"/>
  <c r="P92" i="28"/>
  <c r="AP81" i="28"/>
  <c r="R81" i="34"/>
  <c r="I81" i="34"/>
  <c r="AP81" i="23"/>
  <c r="V149" i="34"/>
  <c r="L19" i="42"/>
  <c r="AC19" i="23"/>
  <c r="AP227" i="24"/>
  <c r="P37" i="27"/>
  <c r="Q38" i="27" s="1"/>
  <c r="BC38" i="27" s="1"/>
  <c r="H17" i="12"/>
  <c r="O81" i="34"/>
  <c r="O92" i="34" s="1"/>
  <c r="O103" i="34" s="1"/>
  <c r="AP87" i="27"/>
  <c r="AP166" i="23"/>
  <c r="AP113" i="24"/>
  <c r="AQ151" i="24" s="1"/>
  <c r="AQ76" i="24"/>
  <c r="M18" i="30" s="1"/>
  <c r="AH43" i="27"/>
  <c r="K24" i="29"/>
  <c r="E18" i="12"/>
  <c r="H18" i="12" s="1"/>
  <c r="V120" i="34"/>
  <c r="V143" i="34"/>
  <c r="V146" i="34"/>
  <c r="G24" i="33"/>
  <c r="V110" i="34"/>
  <c r="V147" i="34"/>
  <c r="V218" i="34"/>
  <c r="V196" i="34"/>
  <c r="V190" i="34"/>
  <c r="V182" i="34"/>
  <c r="V181" i="34"/>
  <c r="V170" i="34"/>
  <c r="V14" i="9"/>
  <c r="V126" i="34"/>
  <c r="V129" i="34"/>
  <c r="V134" i="34"/>
  <c r="V135" i="34"/>
  <c r="V178" i="34"/>
  <c r="V173" i="34"/>
  <c r="I87" i="34"/>
  <c r="V87" i="34" s="1"/>
  <c r="AP87" i="23"/>
  <c r="AC40" i="24"/>
  <c r="AY40" i="24" s="1"/>
  <c r="F40" i="24"/>
  <c r="D40" i="27"/>
  <c r="D16" i="12"/>
  <c r="K20" i="14"/>
  <c r="V205" i="34"/>
  <c r="F211" i="34"/>
  <c r="V171" i="34"/>
  <c r="F175" i="34"/>
  <c r="AL31" i="23"/>
  <c r="L31" i="24"/>
  <c r="AL31" i="24" s="1"/>
  <c r="AL43" i="24" s="1"/>
  <c r="P31" i="23"/>
  <c r="I31" i="34" s="1"/>
  <c r="AH37" i="23"/>
  <c r="AH43" i="23" s="1"/>
  <c r="H37" i="24"/>
  <c r="P37" i="23"/>
  <c r="AW37" i="23" s="1"/>
  <c r="F40" i="23"/>
  <c r="AC40" i="23"/>
  <c r="AD41" i="23" s="1"/>
  <c r="BE41" i="23" s="1"/>
  <c r="P40" i="23"/>
  <c r="AW40" i="23" s="1"/>
  <c r="AC37" i="24"/>
  <c r="AY37" i="24" s="1"/>
  <c r="D19" i="24"/>
  <c r="P28" i="23"/>
  <c r="I28" i="34" s="1"/>
  <c r="F28" i="23"/>
  <c r="K24" i="14"/>
  <c r="E24" i="33"/>
  <c r="AP81" i="1"/>
  <c r="P92" i="1"/>
  <c r="P103" i="1" s="1"/>
  <c r="D25" i="28"/>
  <c r="F25" i="24"/>
  <c r="P25" i="24" s="1"/>
  <c r="Q26" i="24" s="1"/>
  <c r="M26" i="34" s="1"/>
  <c r="AC25" i="24"/>
  <c r="AD26" i="24" s="1"/>
  <c r="F31" i="23"/>
  <c r="AC31" i="23"/>
  <c r="AD32" i="23" s="1"/>
  <c r="D31" i="24"/>
  <c r="F113" i="34"/>
  <c r="V215" i="34"/>
  <c r="F220" i="34"/>
  <c r="F89" i="34"/>
  <c r="AP89" i="1"/>
  <c r="F22" i="23"/>
  <c r="D22" i="24"/>
  <c r="AC103" i="1"/>
  <c r="AJ28" i="23"/>
  <c r="AJ43" i="23" s="1"/>
  <c r="J28" i="24"/>
  <c r="N40" i="24"/>
  <c r="AN40" i="24" s="1"/>
  <c r="AN43" i="24" s="1"/>
  <c r="AN40" i="23"/>
  <c r="AN43" i="23" s="1"/>
  <c r="E16" i="15"/>
  <c r="AD23" i="1"/>
  <c r="BE23" i="1" s="1"/>
  <c r="P13" i="24"/>
  <c r="Q14" i="24" s="1"/>
  <c r="M14" i="34" s="1"/>
  <c r="P22" i="1"/>
  <c r="F22" i="34" s="1"/>
  <c r="AC13" i="28"/>
  <c r="AD14" i="28" s="1"/>
  <c r="BE14" i="28" s="1"/>
  <c r="F52" i="28"/>
  <c r="F58" i="1"/>
  <c r="F58" i="28"/>
  <c r="F55" i="1"/>
  <c r="F58" i="23"/>
  <c r="F52" i="27"/>
  <c r="F55" i="23"/>
  <c r="F58" i="27"/>
  <c r="F61" i="28"/>
  <c r="F55" i="27"/>
  <c r="F61" i="23"/>
  <c r="P61" i="23" s="1"/>
  <c r="Q62" i="23" s="1"/>
  <c r="BC62" i="23" s="1"/>
  <c r="F52" i="24"/>
  <c r="I365" i="21"/>
  <c r="F55" i="24"/>
  <c r="F61" i="1"/>
  <c r="F55" i="28"/>
  <c r="F61" i="24"/>
  <c r="P61" i="24" s="1"/>
  <c r="AW61" i="24" s="1"/>
  <c r="F52" i="23"/>
  <c r="F52" i="1"/>
  <c r="F58" i="24"/>
  <c r="F61" i="27"/>
  <c r="P61" i="27" s="1"/>
  <c r="AW61" i="27" s="1"/>
  <c r="H366" i="21"/>
  <c r="F64" i="1"/>
  <c r="E364" i="21"/>
  <c r="F364" i="21" s="1"/>
  <c r="G364" i="21" s="1"/>
  <c r="H364" i="21" s="1"/>
  <c r="I364" i="21" s="1"/>
  <c r="AY25" i="23"/>
  <c r="AP31" i="1"/>
  <c r="Q16" i="1"/>
  <c r="E12" i="15" s="1"/>
  <c r="AC19" i="1"/>
  <c r="AY19" i="1" s="1"/>
  <c r="F28" i="34"/>
  <c r="P13" i="27"/>
  <c r="O13" i="34" s="1"/>
  <c r="AY16" i="1"/>
  <c r="AW40" i="1"/>
  <c r="Q41" i="1"/>
  <c r="BC41" i="1" s="1"/>
  <c r="F37" i="34"/>
  <c r="Q38" i="1"/>
  <c r="Q14" i="23"/>
  <c r="I13" i="34"/>
  <c r="Q14" i="1"/>
  <c r="G14" i="34" s="1"/>
  <c r="AW13" i="1"/>
  <c r="AD41" i="1"/>
  <c r="BE41" i="1" s="1"/>
  <c r="AY40" i="1"/>
  <c r="AC13" i="1"/>
  <c r="E11" i="15"/>
  <c r="F25" i="34"/>
  <c r="Q26" i="1"/>
  <c r="G26" i="34" s="1"/>
  <c r="AD38" i="23"/>
  <c r="BE38" i="23" s="1"/>
  <c r="AY13" i="27"/>
  <c r="BA13" i="27" s="1"/>
  <c r="AY37" i="23"/>
  <c r="Q35" i="1"/>
  <c r="G35" i="34" s="1"/>
  <c r="AW34" i="1"/>
  <c r="BA34" i="1" s="1"/>
  <c r="E15" i="15"/>
  <c r="F34" i="34"/>
  <c r="Q26" i="27"/>
  <c r="P26" i="34" s="1"/>
  <c r="O25" i="34"/>
  <c r="AD38" i="1"/>
  <c r="AY37" i="1"/>
  <c r="BA37" i="1" s="1"/>
  <c r="Q14" i="28"/>
  <c r="R13" i="34"/>
  <c r="AP28" i="1"/>
  <c r="E17" i="15"/>
  <c r="AY13" i="24"/>
  <c r="BA13" i="24" s="1"/>
  <c r="AD14" i="24"/>
  <c r="BE14" i="24" s="1"/>
  <c r="I16" i="34"/>
  <c r="AW16" i="23"/>
  <c r="J17" i="34"/>
  <c r="BC17" i="23"/>
  <c r="I25" i="34"/>
  <c r="Q26" i="23"/>
  <c r="AW25" i="23"/>
  <c r="F19" i="34"/>
  <c r="AW19" i="1"/>
  <c r="Q20" i="1"/>
  <c r="Q20" i="23"/>
  <c r="AW19" i="23"/>
  <c r="AH13" i="1"/>
  <c r="E13" i="15"/>
  <c r="F13" i="34"/>
  <c r="F31" i="34"/>
  <c r="AD35" i="1"/>
  <c r="AC16" i="23"/>
  <c r="F46" i="24"/>
  <c r="AC46" i="24" s="1"/>
  <c r="AD47" i="24" s="1"/>
  <c r="D46" i="27"/>
  <c r="P34" i="27" l="1"/>
  <c r="AW34" i="27" s="1"/>
  <c r="P34" i="24"/>
  <c r="AW34" i="24" s="1"/>
  <c r="I83" i="34"/>
  <c r="M122" i="22"/>
  <c r="K122" i="22" s="1"/>
  <c r="F34" i="24"/>
  <c r="F8" i="34"/>
  <c r="D5" i="15"/>
  <c r="AC46" i="1"/>
  <c r="AD47" i="1" s="1"/>
  <c r="BE47" i="1" s="1"/>
  <c r="K28" i="14"/>
  <c r="N28" i="14" s="1"/>
  <c r="AP231" i="1"/>
  <c r="AP92" i="27"/>
  <c r="P233" i="23"/>
  <c r="AP233" i="23" s="1"/>
  <c r="F34" i="27"/>
  <c r="D34" i="34"/>
  <c r="AC34" i="24"/>
  <c r="AY34" i="24" s="1"/>
  <c r="P34" i="28"/>
  <c r="Q35" i="28" s="1"/>
  <c r="S35" i="34" s="1"/>
  <c r="AC34" i="28"/>
  <c r="AD35" i="28" s="1"/>
  <c r="AC34" i="27"/>
  <c r="AD35" i="27" s="1"/>
  <c r="BE35" i="27" s="1"/>
  <c r="AP231" i="27"/>
  <c r="I272" i="22"/>
  <c r="I89" i="34"/>
  <c r="BC295" i="22"/>
  <c r="AU296" i="22" s="1"/>
  <c r="BC293" i="22"/>
  <c r="AU294" i="22" s="1"/>
  <c r="AP92" i="28"/>
  <c r="AS233" i="27"/>
  <c r="P241" i="27" s="1"/>
  <c r="E34" i="31" s="1"/>
  <c r="O17" i="9"/>
  <c r="D42" i="32"/>
  <c r="E5" i="40"/>
  <c r="AP151" i="1"/>
  <c r="AP151" i="27"/>
  <c r="AS233" i="24"/>
  <c r="P241" i="24" s="1"/>
  <c r="AP241" i="24" s="1"/>
  <c r="U14" i="9"/>
  <c r="AP151" i="28"/>
  <c r="AU151" i="23"/>
  <c r="AU233" i="23" s="1"/>
  <c r="AC241" i="23" s="1"/>
  <c r="G34" i="29" s="1"/>
  <c r="G26" i="29"/>
  <c r="J16" i="9"/>
  <c r="V17" i="9"/>
  <c r="AD47" i="23"/>
  <c r="BE47" i="23" s="1"/>
  <c r="AC49" i="23"/>
  <c r="AD50" i="23" s="1"/>
  <c r="BE50" i="23" s="1"/>
  <c r="E18" i="15"/>
  <c r="AW46" i="1"/>
  <c r="F46" i="34"/>
  <c r="P46" i="23"/>
  <c r="AW46" i="23" s="1"/>
  <c r="Q50" i="23"/>
  <c r="J50" i="34" s="1"/>
  <c r="I49" i="34"/>
  <c r="BC50" i="1"/>
  <c r="AW49" i="1"/>
  <c r="BA49" i="1" s="1"/>
  <c r="E19" i="15"/>
  <c r="AD50" i="1"/>
  <c r="BE50" i="1" s="1"/>
  <c r="AY13" i="23"/>
  <c r="BA13" i="23" s="1"/>
  <c r="Q32" i="23"/>
  <c r="J32" i="34" s="1"/>
  <c r="AW37" i="27"/>
  <c r="BA37" i="27" s="1"/>
  <c r="P38" i="34"/>
  <c r="Q35" i="23"/>
  <c r="AP34" i="23" s="1"/>
  <c r="O37" i="34"/>
  <c r="AP13" i="23"/>
  <c r="F49" i="34"/>
  <c r="I40" i="34"/>
  <c r="AP13" i="28"/>
  <c r="AC52" i="27"/>
  <c r="AC58" i="23"/>
  <c r="AC61" i="28"/>
  <c r="AD62" i="28" s="1"/>
  <c r="BE62" i="28" s="1"/>
  <c r="AC55" i="23"/>
  <c r="AC58" i="28"/>
  <c r="AC61" i="27"/>
  <c r="AD62" i="27" s="1"/>
  <c r="BE62" i="27" s="1"/>
  <c r="AC61" i="24"/>
  <c r="AD62" i="24" s="1"/>
  <c r="BE62" i="24" s="1"/>
  <c r="AC52" i="23"/>
  <c r="AC52" i="24"/>
  <c r="AC55" i="28"/>
  <c r="AC55" i="27"/>
  <c r="AC58" i="24"/>
  <c r="AC61" i="23"/>
  <c r="AD62" i="23" s="1"/>
  <c r="BE62" i="23" s="1"/>
  <c r="BG62" i="23" s="1"/>
  <c r="AC52" i="28"/>
  <c r="AC55" i="24"/>
  <c r="M18" i="33"/>
  <c r="L16" i="44"/>
  <c r="AY40" i="23"/>
  <c r="BA40" i="23" s="1"/>
  <c r="L89" i="34"/>
  <c r="L92" i="34" s="1"/>
  <c r="L103" i="34" s="1"/>
  <c r="Q50" i="24"/>
  <c r="BC50" i="24" s="1"/>
  <c r="AC49" i="24"/>
  <c r="AY49" i="24" s="1"/>
  <c r="BA49" i="24" s="1"/>
  <c r="L49" i="34"/>
  <c r="BC291" i="22"/>
  <c r="AU292" i="22" s="1"/>
  <c r="BK292" i="22" s="1"/>
  <c r="BM292" i="22" s="1"/>
  <c r="BK291" i="22"/>
  <c r="BM291" i="22" s="1"/>
  <c r="AP231" i="24"/>
  <c r="E26" i="31"/>
  <c r="K26" i="31" s="1"/>
  <c r="O293" i="22"/>
  <c r="AG290" i="22"/>
  <c r="O291" i="22"/>
  <c r="G16" i="9"/>
  <c r="V16" i="9" s="1"/>
  <c r="AU151" i="1"/>
  <c r="AU233" i="1" s="1"/>
  <c r="AC241" i="1" s="1"/>
  <c r="G34" i="14" s="1"/>
  <c r="G34" i="33" s="1"/>
  <c r="G26" i="14"/>
  <c r="G26" i="33" s="1"/>
  <c r="O123" i="22"/>
  <c r="C124" i="22"/>
  <c r="Q123" i="22"/>
  <c r="AS41" i="22"/>
  <c r="O98" i="22" s="1"/>
  <c r="AA94" i="22"/>
  <c r="O100" i="22" s="1"/>
  <c r="K295" i="22"/>
  <c r="L14" i="39"/>
  <c r="L14" i="44" s="1"/>
  <c r="AS151" i="1"/>
  <c r="AS233" i="1" s="1"/>
  <c r="P241" i="1" s="1"/>
  <c r="F16" i="9"/>
  <c r="U16" i="9" s="1"/>
  <c r="AK82" i="22"/>
  <c r="AM119" i="22"/>
  <c r="O74" i="22"/>
  <c r="U119" i="22" s="1"/>
  <c r="AK74" i="22"/>
  <c r="V220" i="34"/>
  <c r="V122" i="34"/>
  <c r="V225" i="34"/>
  <c r="I151" i="34"/>
  <c r="L151" i="34"/>
  <c r="V184" i="34"/>
  <c r="R151" i="34"/>
  <c r="V131" i="34"/>
  <c r="F151" i="34"/>
  <c r="Z113" i="34"/>
  <c r="V166" i="34"/>
  <c r="V202" i="34"/>
  <c r="I231" i="34"/>
  <c r="I233" i="34" s="1"/>
  <c r="V211" i="34"/>
  <c r="V83" i="34"/>
  <c r="O231" i="34"/>
  <c r="O233" i="34" s="1"/>
  <c r="F231" i="34"/>
  <c r="F233" i="34" s="1"/>
  <c r="V98" i="34"/>
  <c r="V193" i="34"/>
  <c r="R231" i="34"/>
  <c r="R233" i="34" s="1"/>
  <c r="AY13" i="28"/>
  <c r="BA13" i="28" s="1"/>
  <c r="AA76" i="34"/>
  <c r="V226" i="34"/>
  <c r="AP231" i="28"/>
  <c r="AS233" i="28"/>
  <c r="P241" i="28" s="1"/>
  <c r="R92" i="34"/>
  <c r="R103" i="34" s="1"/>
  <c r="E26" i="32"/>
  <c r="P233" i="28"/>
  <c r="R17" i="9" s="1"/>
  <c r="H16" i="12"/>
  <c r="O151" i="34"/>
  <c r="V81" i="34"/>
  <c r="Q35" i="27"/>
  <c r="BC35" i="27" s="1"/>
  <c r="Q14" i="27"/>
  <c r="AP13" i="27" s="1"/>
  <c r="BC14" i="24"/>
  <c r="BG14" i="24" s="1"/>
  <c r="AD41" i="24"/>
  <c r="BE41" i="24" s="1"/>
  <c r="K24" i="33"/>
  <c r="E26" i="30"/>
  <c r="K26" i="30" s="1"/>
  <c r="AL43" i="23"/>
  <c r="AS233" i="23"/>
  <c r="P241" i="23" s="1"/>
  <c r="E34" i="29" s="1"/>
  <c r="Q29" i="23"/>
  <c r="J29" i="34" s="1"/>
  <c r="AQ92" i="24"/>
  <c r="Z175" i="34"/>
  <c r="K26" i="29"/>
  <c r="E19" i="12"/>
  <c r="AP231" i="23"/>
  <c r="J62" i="34"/>
  <c r="D16" i="27"/>
  <c r="F16" i="24"/>
  <c r="AW61" i="23"/>
  <c r="Z220" i="34"/>
  <c r="P37" i="28"/>
  <c r="Q38" i="28" s="1"/>
  <c r="P92" i="23"/>
  <c r="P103" i="23" s="1"/>
  <c r="AP103" i="23" s="1"/>
  <c r="M16" i="29" s="1"/>
  <c r="AD38" i="28"/>
  <c r="BE38" i="28" s="1"/>
  <c r="AY37" i="28"/>
  <c r="V227" i="34"/>
  <c r="AP82" i="23"/>
  <c r="F37" i="28"/>
  <c r="Z140" i="34"/>
  <c r="P92" i="24"/>
  <c r="P103" i="24" s="1"/>
  <c r="E16" i="30" s="1"/>
  <c r="Z149" i="34"/>
  <c r="Z211" i="34"/>
  <c r="Z166" i="34"/>
  <c r="Z193" i="34"/>
  <c r="K22" i="33"/>
  <c r="P233" i="1"/>
  <c r="E26" i="14"/>
  <c r="Z184" i="34"/>
  <c r="V76" i="34"/>
  <c r="I84" i="34"/>
  <c r="V84" i="34" s="1"/>
  <c r="AP84" i="23"/>
  <c r="W14" i="9"/>
  <c r="F49" i="27"/>
  <c r="D49" i="28"/>
  <c r="P49" i="27"/>
  <c r="O28" i="34"/>
  <c r="Q29" i="27"/>
  <c r="P29" i="34" s="1"/>
  <c r="L25" i="34"/>
  <c r="Z131" i="34"/>
  <c r="Z202" i="34"/>
  <c r="AC28" i="27"/>
  <c r="AD29" i="27" s="1"/>
  <c r="F28" i="27"/>
  <c r="D28" i="28"/>
  <c r="Z122" i="34"/>
  <c r="BA19" i="1"/>
  <c r="O34" i="34"/>
  <c r="P103" i="28"/>
  <c r="L13" i="42"/>
  <c r="E16" i="31"/>
  <c r="O15" i="9"/>
  <c r="AP103" i="27"/>
  <c r="M16" i="31" s="1"/>
  <c r="AD38" i="27"/>
  <c r="BE38" i="27" s="1"/>
  <c r="BG38" i="27" s="1"/>
  <c r="Q41" i="23"/>
  <c r="AP40" i="23" s="1"/>
  <c r="AP92" i="23"/>
  <c r="AD20" i="23"/>
  <c r="BE20" i="23" s="1"/>
  <c r="AY19" i="23"/>
  <c r="BA19" i="23" s="1"/>
  <c r="L241" i="34"/>
  <c r="V96" i="34"/>
  <c r="I101" i="34"/>
  <c r="L231" i="34"/>
  <c r="P61" i="28"/>
  <c r="AW61" i="28" s="1"/>
  <c r="K20" i="33"/>
  <c r="V140" i="34"/>
  <c r="K20" i="32"/>
  <c r="V175" i="34"/>
  <c r="L19" i="44"/>
  <c r="K18" i="32"/>
  <c r="G15" i="12"/>
  <c r="H15" i="12" s="1"/>
  <c r="E18" i="33"/>
  <c r="K18" i="33" s="1"/>
  <c r="L17" i="9"/>
  <c r="AP233" i="24"/>
  <c r="E16" i="14"/>
  <c r="F15" i="9"/>
  <c r="AP103" i="1"/>
  <c r="M16" i="14" s="1"/>
  <c r="L13" i="39"/>
  <c r="AJ28" i="24"/>
  <c r="AJ43" i="24" s="1"/>
  <c r="P28" i="24"/>
  <c r="BA37" i="23"/>
  <c r="AD38" i="24"/>
  <c r="BE38" i="24" s="1"/>
  <c r="V113" i="34"/>
  <c r="D31" i="27"/>
  <c r="D31" i="34"/>
  <c r="P31" i="24"/>
  <c r="AC31" i="24"/>
  <c r="AD32" i="24" s="1"/>
  <c r="F31" i="24"/>
  <c r="AP92" i="1"/>
  <c r="P37" i="24"/>
  <c r="AH37" i="24"/>
  <c r="AH43" i="24" s="1"/>
  <c r="P22" i="23"/>
  <c r="AC22" i="23"/>
  <c r="G15" i="9"/>
  <c r="V15" i="9" s="1"/>
  <c r="G16" i="14"/>
  <c r="G16" i="33" s="1"/>
  <c r="F40" i="27"/>
  <c r="P40" i="27"/>
  <c r="D40" i="28"/>
  <c r="AC40" i="27"/>
  <c r="F19" i="24"/>
  <c r="D19" i="27"/>
  <c r="D19" i="34"/>
  <c r="AP25" i="24"/>
  <c r="I37" i="34"/>
  <c r="Q38" i="23"/>
  <c r="AP37" i="23" s="1"/>
  <c r="D22" i="27"/>
  <c r="F22" i="24"/>
  <c r="D22" i="34"/>
  <c r="F25" i="28"/>
  <c r="P25" i="28" s="1"/>
  <c r="AC25" i="28"/>
  <c r="F92" i="34"/>
  <c r="P40" i="24"/>
  <c r="F16" i="34"/>
  <c r="O61" i="34"/>
  <c r="I61" i="34"/>
  <c r="G41" i="34"/>
  <c r="L13" i="34"/>
  <c r="V13" i="34" s="1"/>
  <c r="Q62" i="27"/>
  <c r="P62" i="34" s="1"/>
  <c r="L61" i="34"/>
  <c r="Q62" i="24"/>
  <c r="BC62" i="24" s="1"/>
  <c r="BC14" i="1"/>
  <c r="AW22" i="1"/>
  <c r="BA22" i="1" s="1"/>
  <c r="Q23" i="1"/>
  <c r="AP13" i="24"/>
  <c r="E14" i="15"/>
  <c r="AD20" i="1"/>
  <c r="BE20" i="1" s="1"/>
  <c r="BG41" i="1"/>
  <c r="F64" i="28"/>
  <c r="F64" i="27"/>
  <c r="I366" i="21"/>
  <c r="F64" i="24"/>
  <c r="F64" i="23"/>
  <c r="BA25" i="23"/>
  <c r="P64" i="1"/>
  <c r="E24" i="15" s="1"/>
  <c r="AC64" i="1"/>
  <c r="P61" i="1"/>
  <c r="AC61" i="1"/>
  <c r="AW16" i="1"/>
  <c r="BA16" i="1" s="1"/>
  <c r="S14" i="34"/>
  <c r="P55" i="24"/>
  <c r="AC52" i="1"/>
  <c r="P52" i="24"/>
  <c r="P55" i="27"/>
  <c r="P52" i="27"/>
  <c r="P55" i="23"/>
  <c r="P52" i="1"/>
  <c r="P58" i="24"/>
  <c r="P58" i="28"/>
  <c r="AC55" i="1"/>
  <c r="P55" i="28"/>
  <c r="AC58" i="1"/>
  <c r="P55" i="1"/>
  <c r="P58" i="23"/>
  <c r="P58" i="27"/>
  <c r="P52" i="28"/>
  <c r="P58" i="1"/>
  <c r="P52" i="23"/>
  <c r="AP40" i="1"/>
  <c r="BA40" i="1"/>
  <c r="G38" i="34"/>
  <c r="BC38" i="1"/>
  <c r="Q17" i="1"/>
  <c r="AH16" i="1"/>
  <c r="AH43" i="1" s="1"/>
  <c r="AP25" i="27"/>
  <c r="BC14" i="28"/>
  <c r="BG14" i="28" s="1"/>
  <c r="AY46" i="24"/>
  <c r="P46" i="24"/>
  <c r="L46" i="34" s="1"/>
  <c r="BC35" i="1"/>
  <c r="AD14" i="1"/>
  <c r="BE14" i="1" s="1"/>
  <c r="AY13" i="1"/>
  <c r="BA13" i="1" s="1"/>
  <c r="BE38" i="1"/>
  <c r="AP37" i="1"/>
  <c r="BC14" i="23"/>
  <c r="BG14" i="23" s="1"/>
  <c r="J14" i="34"/>
  <c r="AP25" i="1"/>
  <c r="J20" i="34"/>
  <c r="BC20" i="23"/>
  <c r="AD17" i="23"/>
  <c r="BE17" i="23" s="1"/>
  <c r="BG17" i="23" s="1"/>
  <c r="AY16" i="23"/>
  <c r="BA16" i="23" s="1"/>
  <c r="BC26" i="23"/>
  <c r="BG26" i="23" s="1"/>
  <c r="J26" i="34"/>
  <c r="BE35" i="1"/>
  <c r="AP34" i="1"/>
  <c r="BC20" i="1"/>
  <c r="G20" i="34"/>
  <c r="AP25" i="23"/>
  <c r="BE47" i="24"/>
  <c r="D46" i="28"/>
  <c r="F46" i="28" s="1"/>
  <c r="F46" i="27"/>
  <c r="BC47" i="1"/>
  <c r="G47" i="34"/>
  <c r="L34" i="34" l="1"/>
  <c r="R34" i="34"/>
  <c r="AP46" i="1"/>
  <c r="M50" i="34"/>
  <c r="Q35" i="24"/>
  <c r="BC35" i="24" s="1"/>
  <c r="BA34" i="24"/>
  <c r="AY46" i="1"/>
  <c r="BA46" i="1" s="1"/>
  <c r="BG47" i="1"/>
  <c r="I17" i="9"/>
  <c r="AP34" i="28"/>
  <c r="AP241" i="27"/>
  <c r="E34" i="30"/>
  <c r="Z231" i="34"/>
  <c r="AA233" i="34" s="1"/>
  <c r="AD35" i="24"/>
  <c r="BE35" i="24" s="1"/>
  <c r="BG35" i="27"/>
  <c r="AY34" i="27"/>
  <c r="BA34" i="27" s="1"/>
  <c r="O241" i="34"/>
  <c r="BB296" i="22"/>
  <c r="BC296" i="22"/>
  <c r="AU297" i="22" s="1"/>
  <c r="BC298" i="22"/>
  <c r="AU299" i="22" s="1"/>
  <c r="BK296" i="22"/>
  <c r="BM296" i="22" s="1"/>
  <c r="E11" i="12"/>
  <c r="I273" i="22"/>
  <c r="V89" i="34"/>
  <c r="Z92" i="34" s="1"/>
  <c r="BK294" i="22"/>
  <c r="BM294" i="22" s="1"/>
  <c r="BC294" i="22"/>
  <c r="AU295" i="22" s="1"/>
  <c r="BK295" i="22" s="1"/>
  <c r="BM295" i="22" s="1"/>
  <c r="D5" i="23"/>
  <c r="AY49" i="23"/>
  <c r="BA49" i="23" s="1"/>
  <c r="BC50" i="23"/>
  <c r="BG50" i="23" s="1"/>
  <c r="J35" i="34"/>
  <c r="AP49" i="1"/>
  <c r="Q47" i="23"/>
  <c r="BC47" i="23" s="1"/>
  <c r="AP31" i="23"/>
  <c r="I46" i="34"/>
  <c r="BG50" i="1"/>
  <c r="AP28" i="27"/>
  <c r="BG20" i="23"/>
  <c r="AP34" i="27"/>
  <c r="AD50" i="24"/>
  <c r="BE50" i="24" s="1"/>
  <c r="BG50" i="24" s="1"/>
  <c r="BC14" i="27"/>
  <c r="BG14" i="27" s="1"/>
  <c r="P14" i="34"/>
  <c r="W14" i="34" s="1"/>
  <c r="AY61" i="28"/>
  <c r="BA61" i="28" s="1"/>
  <c r="AP37" i="27"/>
  <c r="AC64" i="28"/>
  <c r="AC64" i="27"/>
  <c r="AC64" i="24"/>
  <c r="AC64" i="23"/>
  <c r="P35" i="34"/>
  <c r="W16" i="9"/>
  <c r="E16" i="29"/>
  <c r="E14" i="12" s="1"/>
  <c r="L13" i="40"/>
  <c r="I15" i="9"/>
  <c r="L13" i="41"/>
  <c r="Q62" i="28"/>
  <c r="S62" i="34" s="1"/>
  <c r="R61" i="34"/>
  <c r="F19" i="12"/>
  <c r="M123" i="22"/>
  <c r="K123" i="22" s="1"/>
  <c r="K296" i="22"/>
  <c r="AK98" i="22"/>
  <c r="U140" i="22"/>
  <c r="O294" i="22"/>
  <c r="O296" i="22"/>
  <c r="AG293" i="22"/>
  <c r="AP241" i="1"/>
  <c r="F241" i="34"/>
  <c r="E34" i="14"/>
  <c r="C125" i="22"/>
  <c r="Q124" i="22"/>
  <c r="O124" i="22"/>
  <c r="V151" i="34"/>
  <c r="AS40" i="22"/>
  <c r="O102" i="22"/>
  <c r="AA100" i="22" s="1"/>
  <c r="AG291" i="22"/>
  <c r="O292" i="22"/>
  <c r="AG292" i="22" s="1"/>
  <c r="AY61" i="23"/>
  <c r="BA61" i="23" s="1"/>
  <c r="AP61" i="23"/>
  <c r="V34" i="34"/>
  <c r="Z101" i="34"/>
  <c r="AP233" i="28"/>
  <c r="V231" i="34"/>
  <c r="AP241" i="28"/>
  <c r="E34" i="32"/>
  <c r="R241" i="34"/>
  <c r="K26" i="32"/>
  <c r="G19" i="12"/>
  <c r="I92" i="34"/>
  <c r="I103" i="34" s="1"/>
  <c r="AP241" i="23"/>
  <c r="I241" i="34"/>
  <c r="AP37" i="28"/>
  <c r="BC38" i="28"/>
  <c r="BG38" i="28" s="1"/>
  <c r="S38" i="34"/>
  <c r="AP28" i="23"/>
  <c r="AP19" i="23"/>
  <c r="K16" i="30"/>
  <c r="F14" i="12"/>
  <c r="BC38" i="23"/>
  <c r="BG38" i="23" s="1"/>
  <c r="R37" i="34"/>
  <c r="AW37" i="28"/>
  <c r="BA37" i="28" s="1"/>
  <c r="AC16" i="24"/>
  <c r="P16" i="24"/>
  <c r="F16" i="27"/>
  <c r="D16" i="28"/>
  <c r="F16" i="28" s="1"/>
  <c r="L15" i="9"/>
  <c r="AQ103" i="24"/>
  <c r="M16" i="30" s="1"/>
  <c r="AA151" i="34"/>
  <c r="O49" i="34"/>
  <c r="AC49" i="27"/>
  <c r="AW49" i="27"/>
  <c r="Q50" i="27"/>
  <c r="D19" i="12"/>
  <c r="K26" i="14"/>
  <c r="E26" i="33"/>
  <c r="K26" i="33" s="1"/>
  <c r="P49" i="28"/>
  <c r="AC49" i="28" s="1"/>
  <c r="F49" i="28"/>
  <c r="F17" i="9"/>
  <c r="AP233" i="1"/>
  <c r="J38" i="34"/>
  <c r="P28" i="28"/>
  <c r="F28" i="28"/>
  <c r="AC28" i="28"/>
  <c r="AD29" i="28" s="1"/>
  <c r="V101" i="34"/>
  <c r="R15" i="9"/>
  <c r="E16" i="32"/>
  <c r="K16" i="32" s="1"/>
  <c r="AP103" i="28"/>
  <c r="L13" i="43"/>
  <c r="K16" i="31"/>
  <c r="J41" i="34"/>
  <c r="BC41" i="23"/>
  <c r="BG41" i="23" s="1"/>
  <c r="L233" i="34"/>
  <c r="V233" i="34" s="1"/>
  <c r="Q41" i="24"/>
  <c r="AP40" i="24" s="1"/>
  <c r="L40" i="34"/>
  <c r="AW40" i="24"/>
  <c r="BA40" i="24" s="1"/>
  <c r="P19" i="24"/>
  <c r="AC19" i="24"/>
  <c r="AD23" i="23"/>
  <c r="BE23" i="23" s="1"/>
  <c r="AY22" i="23"/>
  <c r="M62" i="34"/>
  <c r="F103" i="34"/>
  <c r="AC22" i="24"/>
  <c r="P22" i="24"/>
  <c r="AY40" i="27"/>
  <c r="AD41" i="27"/>
  <c r="BE41" i="27" s="1"/>
  <c r="AW22" i="23"/>
  <c r="I22" i="34"/>
  <c r="Q23" i="23"/>
  <c r="P31" i="27"/>
  <c r="D31" i="28"/>
  <c r="F31" i="27"/>
  <c r="AC31" i="27"/>
  <c r="AD32" i="27" s="1"/>
  <c r="AY25" i="28"/>
  <c r="AD26" i="28"/>
  <c r="BE26" i="28" s="1"/>
  <c r="D22" i="28"/>
  <c r="F22" i="28" s="1"/>
  <c r="F22" i="27"/>
  <c r="P40" i="28"/>
  <c r="AC40" i="28"/>
  <c r="F40" i="28"/>
  <c r="Q29" i="24"/>
  <c r="M29" i="34" s="1"/>
  <c r="L28" i="34"/>
  <c r="AP61" i="24"/>
  <c r="AW25" i="28"/>
  <c r="Q26" i="28"/>
  <c r="R25" i="34"/>
  <c r="V25" i="34" s="1"/>
  <c r="F19" i="27"/>
  <c r="D19" i="28"/>
  <c r="F19" i="28" s="1"/>
  <c r="AW40" i="27"/>
  <c r="O40" i="34"/>
  <c r="Q41" i="27"/>
  <c r="Q38" i="24"/>
  <c r="AP37" i="24" s="1"/>
  <c r="AW37" i="24"/>
  <c r="BA37" i="24" s="1"/>
  <c r="L37" i="34"/>
  <c r="Q32" i="24"/>
  <c r="L31" i="34"/>
  <c r="D14" i="12"/>
  <c r="K16" i="14"/>
  <c r="AY61" i="27"/>
  <c r="BA61" i="27" s="1"/>
  <c r="AY61" i="24"/>
  <c r="BA61" i="24" s="1"/>
  <c r="BG62" i="24"/>
  <c r="AP61" i="27"/>
  <c r="BG14" i="1"/>
  <c r="BC62" i="27"/>
  <c r="BG62" i="27" s="1"/>
  <c r="AD43" i="1"/>
  <c r="G12" i="9" s="1"/>
  <c r="G18" i="9" s="1"/>
  <c r="AP19" i="1"/>
  <c r="BG20" i="1"/>
  <c r="BG35" i="1"/>
  <c r="G23" i="34"/>
  <c r="BC23" i="1"/>
  <c r="BG23" i="1" s="1"/>
  <c r="AP22" i="1"/>
  <c r="AW58" i="27"/>
  <c r="AC58" i="27"/>
  <c r="Q59" i="27"/>
  <c r="O58" i="34"/>
  <c r="AW55" i="28"/>
  <c r="Q56" i="28"/>
  <c r="R55" i="34"/>
  <c r="AW52" i="1"/>
  <c r="F52" i="34"/>
  <c r="Q53" i="1"/>
  <c r="L10" i="39"/>
  <c r="L52" i="34"/>
  <c r="Q53" i="24"/>
  <c r="AW52" i="24"/>
  <c r="AY64" i="1"/>
  <c r="AD65" i="1"/>
  <c r="BE65" i="1" s="1"/>
  <c r="P64" i="24"/>
  <c r="BG38" i="1"/>
  <c r="AW52" i="23"/>
  <c r="Q53" i="23"/>
  <c r="I52" i="34"/>
  <c r="I58" i="34"/>
  <c r="Q59" i="23"/>
  <c r="AW58" i="23"/>
  <c r="AY55" i="1"/>
  <c r="AD56" i="1"/>
  <c r="BE56" i="1" s="1"/>
  <c r="Q56" i="23"/>
  <c r="AW55" i="23"/>
  <c r="I55" i="34"/>
  <c r="AD53" i="1"/>
  <c r="AY52" i="1"/>
  <c r="AD62" i="1"/>
  <c r="BE62" i="1" s="1"/>
  <c r="AY61" i="1"/>
  <c r="AW58" i="1"/>
  <c r="Q59" i="1"/>
  <c r="F58" i="34"/>
  <c r="AW55" i="1"/>
  <c r="Q56" i="1"/>
  <c r="F55" i="34"/>
  <c r="Q59" i="28"/>
  <c r="R58" i="34"/>
  <c r="AW58" i="28"/>
  <c r="Q53" i="27"/>
  <c r="AW52" i="27"/>
  <c r="O52" i="34"/>
  <c r="L55" i="34"/>
  <c r="AW55" i="24"/>
  <c r="Q56" i="24"/>
  <c r="Q62" i="1"/>
  <c r="F61" i="34"/>
  <c r="AW61" i="1"/>
  <c r="E23" i="15"/>
  <c r="Q65" i="1"/>
  <c r="F64" i="34"/>
  <c r="AW64" i="1"/>
  <c r="P64" i="27"/>
  <c r="R52" i="34"/>
  <c r="AW52" i="28"/>
  <c r="Q53" i="28"/>
  <c r="AD59" i="1"/>
  <c r="BE59" i="1" s="1"/>
  <c r="AY58" i="1"/>
  <c r="L58" i="34"/>
  <c r="AW58" i="24"/>
  <c r="Q59" i="24"/>
  <c r="Q56" i="27"/>
  <c r="O55" i="34"/>
  <c r="AW55" i="27"/>
  <c r="E22" i="15"/>
  <c r="E20" i="15"/>
  <c r="E21" i="15"/>
  <c r="P64" i="23"/>
  <c r="P64" i="28"/>
  <c r="AP16" i="1"/>
  <c r="G17" i="34"/>
  <c r="BC17" i="1"/>
  <c r="BG17" i="1" s="1"/>
  <c r="P43" i="1"/>
  <c r="AP13" i="1"/>
  <c r="Q47" i="24"/>
  <c r="M47" i="34" s="1"/>
  <c r="AW46" i="24"/>
  <c r="AP16" i="23"/>
  <c r="AP49" i="23"/>
  <c r="AC46" i="28"/>
  <c r="P46" i="28"/>
  <c r="P46" i="27"/>
  <c r="AC46" i="27"/>
  <c r="BA46" i="23"/>
  <c r="M35" i="34" l="1"/>
  <c r="W35" i="34" s="1"/>
  <c r="BG35" i="24"/>
  <c r="U17" i="9"/>
  <c r="W17" i="9" s="1"/>
  <c r="AP34" i="24"/>
  <c r="E34" i="33"/>
  <c r="I8" i="34"/>
  <c r="B6" i="29"/>
  <c r="I274" i="22"/>
  <c r="E5" i="41" s="1"/>
  <c r="BC299" i="22"/>
  <c r="AU300" i="22" s="1"/>
  <c r="BC301" i="22"/>
  <c r="AU302" i="22" s="1"/>
  <c r="BB299" i="22"/>
  <c r="BK299" i="22"/>
  <c r="BM299" i="22" s="1"/>
  <c r="BK297" i="22"/>
  <c r="BM297" i="22" s="1"/>
  <c r="BC297" i="22"/>
  <c r="AU298" i="22" s="1"/>
  <c r="BK298" i="22" s="1"/>
  <c r="BM298" i="22" s="1"/>
  <c r="F43" i="34"/>
  <c r="J47" i="34"/>
  <c r="AP61" i="28"/>
  <c r="AP46" i="23"/>
  <c r="BC62" i="28"/>
  <c r="BG62" i="28" s="1"/>
  <c r="AP49" i="24"/>
  <c r="V61" i="34"/>
  <c r="V37" i="34"/>
  <c r="BA52" i="1"/>
  <c r="AP61" i="1"/>
  <c r="K16" i="29"/>
  <c r="V92" i="34"/>
  <c r="G14" i="12"/>
  <c r="H14" i="12" s="1"/>
  <c r="L13" i="44"/>
  <c r="U15" i="9"/>
  <c r="W15" i="9" s="1"/>
  <c r="AA103" i="34"/>
  <c r="M124" i="22"/>
  <c r="K124" i="22" s="1"/>
  <c r="AA102" i="22"/>
  <c r="O108" i="22" s="1"/>
  <c r="O110" i="22" s="1"/>
  <c r="AS42" i="22"/>
  <c r="O106" i="22" s="1"/>
  <c r="AM140" i="22" s="1"/>
  <c r="O297" i="22"/>
  <c r="O298" i="22" s="1"/>
  <c r="O299" i="22"/>
  <c r="AK90" i="22"/>
  <c r="O90" i="22"/>
  <c r="C140" i="22" s="1"/>
  <c r="O125" i="22"/>
  <c r="Q125" i="22"/>
  <c r="C126" i="22"/>
  <c r="O295" i="22"/>
  <c r="AG295" i="22" s="1"/>
  <c r="D226" i="1" s="1"/>
  <c r="AG294" i="22"/>
  <c r="D225" i="1" s="1"/>
  <c r="K297" i="22"/>
  <c r="AG296" i="22"/>
  <c r="D227" i="1" s="1"/>
  <c r="AC43" i="23"/>
  <c r="J12" i="9" s="1"/>
  <c r="V241" i="34"/>
  <c r="H19" i="12"/>
  <c r="E16" i="33"/>
  <c r="K16" i="33" s="1"/>
  <c r="BA22" i="23"/>
  <c r="Q17" i="24"/>
  <c r="AW16" i="24"/>
  <c r="L16" i="34"/>
  <c r="AY16" i="24"/>
  <c r="AD17" i="24"/>
  <c r="BE17" i="24" s="1"/>
  <c r="P16" i="28"/>
  <c r="AC16" i="28"/>
  <c r="P16" i="27"/>
  <c r="AC16" i="27"/>
  <c r="AQ43" i="1"/>
  <c r="V103" i="34"/>
  <c r="AY49" i="27"/>
  <c r="BA49" i="27" s="1"/>
  <c r="AD50" i="27"/>
  <c r="AD50" i="28"/>
  <c r="BE50" i="28" s="1"/>
  <c r="AY49" i="28"/>
  <c r="Q50" i="28"/>
  <c r="R49" i="34"/>
  <c r="V49" i="34" s="1"/>
  <c r="AW49" i="28"/>
  <c r="BC50" i="27"/>
  <c r="P50" i="34"/>
  <c r="BA55" i="1"/>
  <c r="BA40" i="27"/>
  <c r="BA58" i="1"/>
  <c r="R28" i="34"/>
  <c r="V28" i="34" s="1"/>
  <c r="Q29" i="28"/>
  <c r="S29" i="34" s="1"/>
  <c r="W29" i="34" s="1"/>
  <c r="M16" i="32"/>
  <c r="M16" i="33"/>
  <c r="AP28" i="24"/>
  <c r="P22" i="28"/>
  <c r="AC22" i="28"/>
  <c r="AP22" i="23"/>
  <c r="AP43" i="23" s="1"/>
  <c r="J23" i="34"/>
  <c r="I43" i="34" s="1"/>
  <c r="P43" i="23"/>
  <c r="I12" i="9" s="1"/>
  <c r="BC23" i="23"/>
  <c r="BG23" i="23" s="1"/>
  <c r="AD23" i="24"/>
  <c r="BE23" i="24" s="1"/>
  <c r="AY22" i="24"/>
  <c r="Q20" i="24"/>
  <c r="AW19" i="24"/>
  <c r="L19" i="34"/>
  <c r="AP25" i="28"/>
  <c r="S26" i="34"/>
  <c r="W26" i="34" s="1"/>
  <c r="BC26" i="28"/>
  <c r="BG26" i="28" s="1"/>
  <c r="AD41" i="28"/>
  <c r="BE41" i="28" s="1"/>
  <c r="AY40" i="28"/>
  <c r="Q67" i="1"/>
  <c r="P235" i="1" s="1"/>
  <c r="P240" i="1" s="1"/>
  <c r="AP31" i="24"/>
  <c r="M32" i="34"/>
  <c r="M38" i="34"/>
  <c r="W38" i="34" s="1"/>
  <c r="BC38" i="24"/>
  <c r="BG38" i="24" s="1"/>
  <c r="P19" i="28"/>
  <c r="AC19" i="28"/>
  <c r="AW40" i="28"/>
  <c r="R40" i="34"/>
  <c r="V40" i="34" s="1"/>
  <c r="Q41" i="28"/>
  <c r="BA25" i="28"/>
  <c r="F31" i="28"/>
  <c r="P31" i="28"/>
  <c r="AC31" i="28"/>
  <c r="AD32" i="28" s="1"/>
  <c r="AP64" i="1"/>
  <c r="P41" i="34"/>
  <c r="AP40" i="27"/>
  <c r="BC41" i="27"/>
  <c r="BG41" i="27" s="1"/>
  <c r="AC19" i="27"/>
  <c r="P19" i="27"/>
  <c r="AC22" i="27"/>
  <c r="P22" i="27"/>
  <c r="Q32" i="27"/>
  <c r="P32" i="34" s="1"/>
  <c r="O31" i="34"/>
  <c r="L22" i="34"/>
  <c r="Q23" i="24"/>
  <c r="AW22" i="24"/>
  <c r="AD20" i="24"/>
  <c r="AY19" i="24"/>
  <c r="M41" i="34"/>
  <c r="BC41" i="24"/>
  <c r="BG41" i="24" s="1"/>
  <c r="AP46" i="24"/>
  <c r="BC47" i="24"/>
  <c r="BG47" i="24" s="1"/>
  <c r="AY58" i="28"/>
  <c r="BA58" i="28" s="1"/>
  <c r="AD59" i="28"/>
  <c r="BE59" i="28" s="1"/>
  <c r="AY64" i="24"/>
  <c r="AD65" i="24"/>
  <c r="BE65" i="24" s="1"/>
  <c r="AD65" i="23"/>
  <c r="BE65" i="23" s="1"/>
  <c r="AY64" i="23"/>
  <c r="BC56" i="27"/>
  <c r="P56" i="34"/>
  <c r="Q65" i="28"/>
  <c r="R64" i="34"/>
  <c r="AW64" i="28"/>
  <c r="AY55" i="27"/>
  <c r="BA55" i="27" s="1"/>
  <c r="AD56" i="27"/>
  <c r="BC59" i="24"/>
  <c r="M59" i="34"/>
  <c r="AD53" i="27"/>
  <c r="AY52" i="27"/>
  <c r="BA52" i="27" s="1"/>
  <c r="V55" i="34"/>
  <c r="V58" i="34"/>
  <c r="AD56" i="23"/>
  <c r="BE56" i="23" s="1"/>
  <c r="AY55" i="23"/>
  <c r="BA55" i="23" s="1"/>
  <c r="BC59" i="23"/>
  <c r="J59" i="34"/>
  <c r="AD53" i="23"/>
  <c r="AP52" i="23" s="1"/>
  <c r="AY52" i="23"/>
  <c r="BA64" i="1"/>
  <c r="AD56" i="28"/>
  <c r="BE56" i="28" s="1"/>
  <c r="AY55" i="28"/>
  <c r="BA55" i="28" s="1"/>
  <c r="AY64" i="28"/>
  <c r="AD65" i="28"/>
  <c r="BE65" i="28" s="1"/>
  <c r="BC62" i="1"/>
  <c r="BG62" i="1" s="1"/>
  <c r="G62" i="34"/>
  <c r="W62" i="34" s="1"/>
  <c r="AY55" i="24"/>
  <c r="BA55" i="24" s="1"/>
  <c r="AD56" i="24"/>
  <c r="BE56" i="24" s="1"/>
  <c r="G56" i="34"/>
  <c r="BC56" i="1"/>
  <c r="BG56" i="1" s="1"/>
  <c r="BC59" i="1"/>
  <c r="BG59" i="1" s="1"/>
  <c r="G59" i="34"/>
  <c r="AD59" i="24"/>
  <c r="BE59" i="24" s="1"/>
  <c r="AY58" i="24"/>
  <c r="BA58" i="24" s="1"/>
  <c r="AD53" i="28"/>
  <c r="BE53" i="28" s="1"/>
  <c r="AY52" i="28"/>
  <c r="BA52" i="28" s="1"/>
  <c r="AY64" i="27"/>
  <c r="AD65" i="27"/>
  <c r="BE65" i="27" s="1"/>
  <c r="M56" i="34"/>
  <c r="BC56" i="24"/>
  <c r="BC53" i="27"/>
  <c r="P53" i="34"/>
  <c r="S59" i="34"/>
  <c r="BC59" i="28"/>
  <c r="AD59" i="23"/>
  <c r="BE59" i="23" s="1"/>
  <c r="AY58" i="23"/>
  <c r="BA58" i="23" s="1"/>
  <c r="V52" i="34"/>
  <c r="L64" i="34"/>
  <c r="AW64" i="24"/>
  <c r="Q65" i="24"/>
  <c r="L10" i="41"/>
  <c r="BC53" i="24"/>
  <c r="M53" i="34"/>
  <c r="G53" i="34"/>
  <c r="BC53" i="1"/>
  <c r="L11" i="39"/>
  <c r="S56" i="34"/>
  <c r="BC56" i="28"/>
  <c r="BC59" i="27"/>
  <c r="P59" i="34"/>
  <c r="AW64" i="23"/>
  <c r="AW67" i="23" s="1"/>
  <c r="E12" i="29" s="1"/>
  <c r="E12" i="12" s="1"/>
  <c r="Q65" i="23"/>
  <c r="I64" i="34"/>
  <c r="L10" i="40"/>
  <c r="BC53" i="28"/>
  <c r="S53" i="34"/>
  <c r="O64" i="34"/>
  <c r="AW64" i="27"/>
  <c r="Q65" i="27"/>
  <c r="BC65" i="1"/>
  <c r="BG65" i="1" s="1"/>
  <c r="G65" i="34"/>
  <c r="BA61" i="1"/>
  <c r="AP55" i="1"/>
  <c r="AP58" i="1"/>
  <c r="AP52" i="1"/>
  <c r="BE53" i="1"/>
  <c r="AC67" i="1"/>
  <c r="AC235" i="1" s="1"/>
  <c r="AC240" i="1" s="1"/>
  <c r="AC243" i="1" s="1"/>
  <c r="BC56" i="23"/>
  <c r="J56" i="34"/>
  <c r="BC53" i="23"/>
  <c r="J53" i="34"/>
  <c r="AY52" i="24"/>
  <c r="AD53" i="24"/>
  <c r="BE53" i="24" s="1"/>
  <c r="AD59" i="27"/>
  <c r="AY58" i="27"/>
  <c r="BA58" i="27" s="1"/>
  <c r="F12" i="9"/>
  <c r="BA46" i="24"/>
  <c r="Q47" i="27"/>
  <c r="AW46" i="27"/>
  <c r="O46" i="34"/>
  <c r="R46" i="34"/>
  <c r="AW46" i="28"/>
  <c r="Q47" i="28"/>
  <c r="AD47" i="28"/>
  <c r="AY46" i="28"/>
  <c r="AD47" i="27"/>
  <c r="BE47" i="27" s="1"/>
  <c r="AY46" i="27"/>
  <c r="BG47" i="23"/>
  <c r="BC304" i="22" l="1"/>
  <c r="AU305" i="22" s="1"/>
  <c r="BK302" i="22"/>
  <c r="BM302" i="22" s="1"/>
  <c r="BC302" i="22"/>
  <c r="AU303" i="22" s="1"/>
  <c r="BB302" i="22"/>
  <c r="BK300" i="22"/>
  <c r="BM300" i="22" s="1"/>
  <c r="BC300" i="22"/>
  <c r="AU301" i="22" s="1"/>
  <c r="BK301" i="22" s="1"/>
  <c r="BM301" i="22" s="1"/>
  <c r="F11" i="12"/>
  <c r="I275" i="22"/>
  <c r="D5" i="24"/>
  <c r="M125" i="22"/>
  <c r="K125" i="22" s="1"/>
  <c r="Q126" i="22"/>
  <c r="O126" i="22"/>
  <c r="C127" i="22"/>
  <c r="K298" i="22"/>
  <c r="AG297" i="22"/>
  <c r="D225" i="23" s="1"/>
  <c r="O302" i="22"/>
  <c r="O300" i="22"/>
  <c r="O301" i="22" s="1"/>
  <c r="AP49" i="28"/>
  <c r="AW16" i="28"/>
  <c r="R16" i="34"/>
  <c r="Q17" i="28"/>
  <c r="AD17" i="27"/>
  <c r="BE17" i="27" s="1"/>
  <c r="AY16" i="27"/>
  <c r="BA16" i="24"/>
  <c r="BC17" i="24"/>
  <c r="BG17" i="24" s="1"/>
  <c r="M17" i="34"/>
  <c r="O16" i="34"/>
  <c r="AW16" i="27"/>
  <c r="Q17" i="27"/>
  <c r="AW67" i="24"/>
  <c r="E12" i="30" s="1"/>
  <c r="F12" i="12" s="1"/>
  <c r="AD17" i="28"/>
  <c r="BE17" i="28" s="1"/>
  <c r="AY16" i="28"/>
  <c r="AP16" i="24"/>
  <c r="AP28" i="28"/>
  <c r="BC50" i="28"/>
  <c r="BG50" i="28" s="1"/>
  <c r="S50" i="34"/>
  <c r="W50" i="34" s="1"/>
  <c r="BE50" i="27"/>
  <c r="BG50" i="27" s="1"/>
  <c r="AP49" i="27"/>
  <c r="BA49" i="28"/>
  <c r="L10" i="42"/>
  <c r="AP64" i="24"/>
  <c r="AP40" i="28"/>
  <c r="AP19" i="24"/>
  <c r="Q32" i="28"/>
  <c r="S32" i="34" s="1"/>
  <c r="W32" i="34" s="1"/>
  <c r="R31" i="34"/>
  <c r="V31" i="34" s="1"/>
  <c r="Q20" i="28"/>
  <c r="R19" i="34"/>
  <c r="AW19" i="28"/>
  <c r="BA22" i="24"/>
  <c r="BA19" i="24"/>
  <c r="Q23" i="27"/>
  <c r="AW22" i="27"/>
  <c r="O22" i="34"/>
  <c r="P43" i="24"/>
  <c r="L12" i="9" s="1"/>
  <c r="M23" i="34"/>
  <c r="AP22" i="24"/>
  <c r="BC23" i="24"/>
  <c r="BG23" i="24" s="1"/>
  <c r="AY19" i="27"/>
  <c r="AD20" i="27"/>
  <c r="BE20" i="27" s="1"/>
  <c r="L10" i="43"/>
  <c r="BE20" i="24"/>
  <c r="BE67" i="24" s="1"/>
  <c r="G14" i="30" s="1"/>
  <c r="AD43" i="24"/>
  <c r="M12" i="9" s="1"/>
  <c r="AP31" i="27"/>
  <c r="AY22" i="27"/>
  <c r="AD23" i="27"/>
  <c r="BE23" i="27" s="1"/>
  <c r="BA40" i="28"/>
  <c r="AY22" i="28"/>
  <c r="AD23" i="28"/>
  <c r="BE23" i="28" s="1"/>
  <c r="O19" i="34"/>
  <c r="Q20" i="27"/>
  <c r="AW19" i="27"/>
  <c r="S41" i="34"/>
  <c r="W41" i="34" s="1"/>
  <c r="BC41" i="28"/>
  <c r="BG41" i="28" s="1"/>
  <c r="AY19" i="28"/>
  <c r="AD20" i="28"/>
  <c r="BE20" i="28" s="1"/>
  <c r="M20" i="34"/>
  <c r="BC20" i="24"/>
  <c r="Q23" i="28"/>
  <c r="AW22" i="28"/>
  <c r="R22" i="34"/>
  <c r="BG59" i="24"/>
  <c r="AP240" i="1"/>
  <c r="AP58" i="23"/>
  <c r="AP52" i="28"/>
  <c r="AP55" i="23"/>
  <c r="AP64" i="28"/>
  <c r="W59" i="34"/>
  <c r="AP55" i="24"/>
  <c r="BA64" i="27"/>
  <c r="AP52" i="24"/>
  <c r="BG56" i="24"/>
  <c r="BG56" i="28"/>
  <c r="G33" i="14"/>
  <c r="AQ67" i="1"/>
  <c r="AP235" i="1" s="1"/>
  <c r="AP55" i="28"/>
  <c r="BG59" i="23"/>
  <c r="BA64" i="28"/>
  <c r="BG53" i="24"/>
  <c r="P65" i="34"/>
  <c r="BC65" i="27"/>
  <c r="BG65" i="27" s="1"/>
  <c r="BG53" i="28"/>
  <c r="BG59" i="28"/>
  <c r="P67" i="27"/>
  <c r="O13" i="9" s="1"/>
  <c r="BA52" i="24"/>
  <c r="AY67" i="24"/>
  <c r="G12" i="30" s="1"/>
  <c r="BG53" i="1"/>
  <c r="V64" i="34"/>
  <c r="W53" i="34"/>
  <c r="F67" i="34"/>
  <c r="F235" i="34" s="1"/>
  <c r="AP58" i="28"/>
  <c r="BE59" i="27"/>
  <c r="BG59" i="27" s="1"/>
  <c r="AP58" i="27"/>
  <c r="BC65" i="23"/>
  <c r="BC67" i="23" s="1"/>
  <c r="E14" i="29" s="1"/>
  <c r="E28" i="29" s="1"/>
  <c r="J65" i="34"/>
  <c r="I67" i="34" s="1"/>
  <c r="I235" i="34" s="1"/>
  <c r="P67" i="23"/>
  <c r="AP64" i="23"/>
  <c r="L11" i="40"/>
  <c r="BA52" i="23"/>
  <c r="AY67" i="23"/>
  <c r="G12" i="29" s="1"/>
  <c r="K12" i="29" s="1"/>
  <c r="BE56" i="27"/>
  <c r="BG56" i="27" s="1"/>
  <c r="AP55" i="27"/>
  <c r="AD67" i="24"/>
  <c r="AP64" i="27"/>
  <c r="AP58" i="24"/>
  <c r="BC65" i="24"/>
  <c r="BG65" i="24" s="1"/>
  <c r="M65" i="34"/>
  <c r="L67" i="34" s="1"/>
  <c r="P67" i="24"/>
  <c r="W56" i="34"/>
  <c r="BE53" i="23"/>
  <c r="BE67" i="23" s="1"/>
  <c r="G14" i="29" s="1"/>
  <c r="AC67" i="23"/>
  <c r="BG56" i="23"/>
  <c r="BE53" i="27"/>
  <c r="BG53" i="27" s="1"/>
  <c r="AP52" i="27"/>
  <c r="BC65" i="28"/>
  <c r="BG65" i="28" s="1"/>
  <c r="S65" i="34"/>
  <c r="BA64" i="23"/>
  <c r="BA64" i="24"/>
  <c r="F240" i="34"/>
  <c r="E33" i="14"/>
  <c r="P243" i="1"/>
  <c r="AP243" i="1" s="1"/>
  <c r="F18" i="9"/>
  <c r="AC67" i="27"/>
  <c r="G36" i="14"/>
  <c r="AC245" i="1"/>
  <c r="V46" i="34"/>
  <c r="BE47" i="28"/>
  <c r="AC67" i="28"/>
  <c r="BA46" i="27"/>
  <c r="AP46" i="28"/>
  <c r="BC47" i="28"/>
  <c r="S47" i="34"/>
  <c r="BA46" i="28"/>
  <c r="P67" i="28"/>
  <c r="AP46" i="27"/>
  <c r="P47" i="34"/>
  <c r="BC47" i="27"/>
  <c r="I276" i="22" l="1"/>
  <c r="I277" i="22" s="1"/>
  <c r="E5" i="42"/>
  <c r="BC303" i="22"/>
  <c r="AU304" i="22" s="1"/>
  <c r="BK304" i="22" s="1"/>
  <c r="BM304" i="22" s="1"/>
  <c r="BK303" i="22"/>
  <c r="BM303" i="22" s="1"/>
  <c r="L8" i="34"/>
  <c r="B6" i="30"/>
  <c r="BK305" i="22"/>
  <c r="BM305" i="22" s="1"/>
  <c r="BC305" i="22"/>
  <c r="AU306" i="22" s="1"/>
  <c r="BB305" i="22"/>
  <c r="BC307" i="22"/>
  <c r="AU308" i="22" s="1"/>
  <c r="Q127" i="22"/>
  <c r="O127" i="22"/>
  <c r="C129" i="22"/>
  <c r="M126" i="22"/>
  <c r="K126" i="22" s="1"/>
  <c r="O305" i="22"/>
  <c r="O303" i="22"/>
  <c r="O304" i="22" s="1"/>
  <c r="K299" i="22"/>
  <c r="AG298" i="22"/>
  <c r="D226" i="23" s="1"/>
  <c r="L10" i="44"/>
  <c r="AP16" i="27"/>
  <c r="BA16" i="28"/>
  <c r="AP16" i="28"/>
  <c r="V16" i="34"/>
  <c r="BA16" i="27"/>
  <c r="BA19" i="28"/>
  <c r="AY67" i="27"/>
  <c r="G12" i="31" s="1"/>
  <c r="S17" i="34"/>
  <c r="BC17" i="28"/>
  <c r="BG17" i="28" s="1"/>
  <c r="P17" i="34"/>
  <c r="BC17" i="27"/>
  <c r="BG17" i="27" s="1"/>
  <c r="AW67" i="27"/>
  <c r="E12" i="31" s="1"/>
  <c r="BA22" i="28"/>
  <c r="AP22" i="27"/>
  <c r="AP19" i="27"/>
  <c r="L11" i="42"/>
  <c r="L43" i="34"/>
  <c r="L235" i="34" s="1"/>
  <c r="AQ43" i="24"/>
  <c r="BA22" i="27"/>
  <c r="V22" i="34"/>
  <c r="AP19" i="28"/>
  <c r="BA19" i="27"/>
  <c r="AW67" i="28"/>
  <c r="E12" i="32" s="1"/>
  <c r="AC43" i="28"/>
  <c r="S12" i="9" s="1"/>
  <c r="V19" i="34"/>
  <c r="AY67" i="28"/>
  <c r="G12" i="32" s="1"/>
  <c r="P43" i="27"/>
  <c r="O12" i="9" s="1"/>
  <c r="O18" i="9" s="1"/>
  <c r="BC20" i="28"/>
  <c r="BG20" i="28" s="1"/>
  <c r="S20" i="34"/>
  <c r="S23" i="34"/>
  <c r="BC23" i="28"/>
  <c r="BG23" i="28" s="1"/>
  <c r="AC43" i="27"/>
  <c r="P12" i="9" s="1"/>
  <c r="P23" i="34"/>
  <c r="BC23" i="27"/>
  <c r="BG23" i="27" s="1"/>
  <c r="P13" i="9"/>
  <c r="L11" i="43"/>
  <c r="AP22" i="28"/>
  <c r="BG20" i="24"/>
  <c r="BG67" i="24" s="1"/>
  <c r="M14" i="30" s="1"/>
  <c r="BC20" i="27"/>
  <c r="BG20" i="27" s="1"/>
  <c r="P20" i="34"/>
  <c r="P43" i="28"/>
  <c r="R12" i="9" s="1"/>
  <c r="AP31" i="28"/>
  <c r="R67" i="34"/>
  <c r="AQ67" i="24"/>
  <c r="AP67" i="23"/>
  <c r="AP235" i="23" s="1"/>
  <c r="K14" i="29"/>
  <c r="M28" i="29" s="1"/>
  <c r="G28" i="30"/>
  <c r="E13" i="12"/>
  <c r="E20" i="12" s="1"/>
  <c r="AP67" i="27"/>
  <c r="AP67" i="28"/>
  <c r="BA67" i="24"/>
  <c r="M12" i="30" s="1"/>
  <c r="BC67" i="24"/>
  <c r="W65" i="34"/>
  <c r="BG53" i="23"/>
  <c r="J13" i="9"/>
  <c r="J18" i="9" s="1"/>
  <c r="AC235" i="23"/>
  <c r="AC240" i="23" s="1"/>
  <c r="M13" i="9"/>
  <c r="M18" i="9" s="1"/>
  <c r="AC235" i="24"/>
  <c r="AC240" i="24" s="1"/>
  <c r="AC243" i="24" s="1"/>
  <c r="AC245" i="24" s="1"/>
  <c r="G38" i="30" s="1"/>
  <c r="BA67" i="23"/>
  <c r="M12" i="29" s="1"/>
  <c r="G28" i="29"/>
  <c r="K28" i="29" s="1"/>
  <c r="BG65" i="23"/>
  <c r="BE67" i="27"/>
  <c r="G14" i="31" s="1"/>
  <c r="L13" i="9"/>
  <c r="L18" i="9" s="1"/>
  <c r="P235" i="24"/>
  <c r="P240" i="24" s="1"/>
  <c r="P235" i="23"/>
  <c r="P240" i="23" s="1"/>
  <c r="I13" i="9"/>
  <c r="I18" i="9" s="1"/>
  <c r="K12" i="30"/>
  <c r="F243" i="34"/>
  <c r="P245" i="1"/>
  <c r="AP245" i="1" s="1"/>
  <c r="P249" i="1"/>
  <c r="E36" i="14"/>
  <c r="G38" i="14"/>
  <c r="BG47" i="27"/>
  <c r="R13" i="9"/>
  <c r="O67" i="34"/>
  <c r="W47" i="34"/>
  <c r="S13" i="9"/>
  <c r="BE67" i="28"/>
  <c r="G14" i="32" s="1"/>
  <c r="BG47" i="28"/>
  <c r="BB308" i="22" l="1"/>
  <c r="BK308" i="22"/>
  <c r="BM308" i="22" s="1"/>
  <c r="BC310" i="22"/>
  <c r="AU311" i="22" s="1"/>
  <c r="BC308" i="22"/>
  <c r="AU309" i="22" s="1"/>
  <c r="I278" i="22"/>
  <c r="G11" i="12" s="1"/>
  <c r="BC306" i="22"/>
  <c r="AU307" i="22" s="1"/>
  <c r="BK307" i="22" s="1"/>
  <c r="BM307" i="22" s="1"/>
  <c r="BK306" i="22"/>
  <c r="BM306" i="22" s="1"/>
  <c r="D5" i="27"/>
  <c r="O308" i="22"/>
  <c r="O306" i="22"/>
  <c r="O307" i="22" s="1"/>
  <c r="AG299" i="22"/>
  <c r="D227" i="23" s="1"/>
  <c r="K300" i="22"/>
  <c r="Q129" i="22"/>
  <c r="O129" i="22"/>
  <c r="C130" i="22"/>
  <c r="M127" i="22"/>
  <c r="K127" i="22" s="1"/>
  <c r="K128" i="22" s="1"/>
  <c r="BA67" i="28"/>
  <c r="M12" i="32" s="1"/>
  <c r="W17" i="34"/>
  <c r="E12" i="33"/>
  <c r="K12" i="31"/>
  <c r="AP43" i="27"/>
  <c r="AP235" i="27" s="1"/>
  <c r="AP235" i="24"/>
  <c r="W23" i="34"/>
  <c r="R43" i="34"/>
  <c r="R235" i="34" s="1"/>
  <c r="N28" i="29"/>
  <c r="P235" i="28"/>
  <c r="P240" i="28" s="1"/>
  <c r="R240" i="34" s="1"/>
  <c r="G12" i="12"/>
  <c r="BA67" i="27"/>
  <c r="M12" i="31" s="1"/>
  <c r="AC235" i="28"/>
  <c r="AC240" i="28" s="1"/>
  <c r="G33" i="32" s="1"/>
  <c r="R18" i="9"/>
  <c r="U18" i="9" s="1"/>
  <c r="O43" i="34"/>
  <c r="O235" i="34" s="1"/>
  <c r="K12" i="32"/>
  <c r="BC67" i="28"/>
  <c r="E14" i="32" s="1"/>
  <c r="K14" i="32" s="1"/>
  <c r="AA67" i="34"/>
  <c r="V12" i="9"/>
  <c r="U12" i="9"/>
  <c r="G28" i="32"/>
  <c r="P18" i="9"/>
  <c r="AC235" i="27"/>
  <c r="AC240" i="27" s="1"/>
  <c r="BG67" i="27"/>
  <c r="M14" i="31" s="1"/>
  <c r="G12" i="33"/>
  <c r="BG67" i="28"/>
  <c r="M14" i="33" s="1"/>
  <c r="W20" i="34"/>
  <c r="AP43" i="28"/>
  <c r="AP235" i="28" s="1"/>
  <c r="BC67" i="27"/>
  <c r="E14" i="31" s="1"/>
  <c r="E28" i="31" s="1"/>
  <c r="P235" i="27"/>
  <c r="P240" i="27" s="1"/>
  <c r="G28" i="31"/>
  <c r="BG67" i="23"/>
  <c r="M14" i="29" s="1"/>
  <c r="E14" i="30"/>
  <c r="L11" i="41"/>
  <c r="L11" i="44" s="1"/>
  <c r="G33" i="29"/>
  <c r="AC243" i="23"/>
  <c r="E33" i="29"/>
  <c r="P243" i="23"/>
  <c r="AP240" i="23"/>
  <c r="I240" i="34"/>
  <c r="E33" i="30"/>
  <c r="L240" i="34"/>
  <c r="P243" i="24"/>
  <c r="AP240" i="24"/>
  <c r="F249" i="34"/>
  <c r="F251" i="34" s="1"/>
  <c r="F253" i="34" s="1"/>
  <c r="E42" i="14"/>
  <c r="AP249" i="1"/>
  <c r="P251" i="1"/>
  <c r="P247" i="1"/>
  <c r="E38" i="14"/>
  <c r="F245" i="34"/>
  <c r="U13" i="9"/>
  <c r="G14" i="33"/>
  <c r="S18" i="9"/>
  <c r="V13" i="9"/>
  <c r="V67" i="34"/>
  <c r="E5" i="43" l="1"/>
  <c r="M129" i="22"/>
  <c r="K129" i="22" s="1"/>
  <c r="BC309" i="22"/>
  <c r="AU310" i="22" s="1"/>
  <c r="BK310" i="22" s="1"/>
  <c r="BM310" i="22" s="1"/>
  <c r="BK309" i="22"/>
  <c r="BM309" i="22" s="1"/>
  <c r="B6" i="31"/>
  <c r="O8" i="34"/>
  <c r="D5" i="28"/>
  <c r="BB311" i="22"/>
  <c r="BC311" i="22"/>
  <c r="AU312" i="22" s="1"/>
  <c r="BC313" i="22"/>
  <c r="BK311" i="22"/>
  <c r="BM311" i="22" s="1"/>
  <c r="M12" i="33"/>
  <c r="K12" i="33"/>
  <c r="M28" i="33" s="1"/>
  <c r="E33" i="32"/>
  <c r="Q130" i="22"/>
  <c r="O130" i="22"/>
  <c r="C131" i="22"/>
  <c r="K301" i="22"/>
  <c r="AG300" i="22"/>
  <c r="D225" i="24" s="1"/>
  <c r="O311" i="22"/>
  <c r="O312" i="22" s="1"/>
  <c r="O313" i="22" s="1"/>
  <c r="O309" i="22"/>
  <c r="O310" i="22" s="1"/>
  <c r="V18" i="9"/>
  <c r="W18" i="9" s="1"/>
  <c r="E28" i="32"/>
  <c r="K28" i="32" s="1"/>
  <c r="AA43" i="34"/>
  <c r="AA235" i="34" s="1"/>
  <c r="V43" i="34"/>
  <c r="AP240" i="28"/>
  <c r="G28" i="33"/>
  <c r="AC243" i="28"/>
  <c r="AC245" i="28" s="1"/>
  <c r="G38" i="32" s="1"/>
  <c r="W12" i="9"/>
  <c r="M14" i="32"/>
  <c r="P243" i="28"/>
  <c r="R243" i="34" s="1"/>
  <c r="M28" i="32"/>
  <c r="V235" i="34"/>
  <c r="G13" i="12"/>
  <c r="G20" i="12" s="1"/>
  <c r="K14" i="31"/>
  <c r="M28" i="31" s="1"/>
  <c r="AC243" i="27"/>
  <c r="G33" i="31"/>
  <c r="G33" i="33" s="1"/>
  <c r="E33" i="31"/>
  <c r="O240" i="34"/>
  <c r="V240" i="34" s="1"/>
  <c r="P243" i="27"/>
  <c r="AP240" i="27"/>
  <c r="K28" i="31"/>
  <c r="E14" i="33"/>
  <c r="K14" i="33" s="1"/>
  <c r="E28" i="30"/>
  <c r="K14" i="30"/>
  <c r="M28" i="30" s="1"/>
  <c r="F13" i="12"/>
  <c r="F20" i="12" s="1"/>
  <c r="G36" i="29"/>
  <c r="AC245" i="23"/>
  <c r="G38" i="29" s="1"/>
  <c r="L243" i="34"/>
  <c r="P249" i="24"/>
  <c r="AP243" i="24"/>
  <c r="P245" i="24"/>
  <c r="E36" i="30"/>
  <c r="P249" i="23"/>
  <c r="P245" i="23"/>
  <c r="I243" i="34"/>
  <c r="E36" i="29"/>
  <c r="AP243" i="23"/>
  <c r="L21" i="39"/>
  <c r="L23" i="39" s="1"/>
  <c r="P253" i="1"/>
  <c r="F19" i="9"/>
  <c r="F21" i="9" s="1"/>
  <c r="E44" i="14"/>
  <c r="E30" i="14"/>
  <c r="D21" i="12" s="1"/>
  <c r="E40" i="14"/>
  <c r="AC247" i="1"/>
  <c r="F247" i="34"/>
  <c r="W13" i="9"/>
  <c r="M130" i="22" l="1"/>
  <c r="K130" i="22" s="1"/>
  <c r="BK312" i="22"/>
  <c r="BM312" i="22" s="1"/>
  <c r="BC312" i="22"/>
  <c r="AU313" i="22" s="1"/>
  <c r="BK313" i="22" s="1"/>
  <c r="BM313" i="22" s="1"/>
  <c r="R8" i="34"/>
  <c r="B6" i="32"/>
  <c r="N28" i="32"/>
  <c r="Q131" i="22"/>
  <c r="O131" i="22"/>
  <c r="C132" i="22"/>
  <c r="E33" i="33"/>
  <c r="K302" i="22"/>
  <c r="AG301" i="22"/>
  <c r="D226" i="24" s="1"/>
  <c r="P245" i="28"/>
  <c r="R245" i="34" s="1"/>
  <c r="AP243" i="28"/>
  <c r="P249" i="28"/>
  <c r="AP249" i="28" s="1"/>
  <c r="E36" i="32"/>
  <c r="N28" i="31"/>
  <c r="AC245" i="27"/>
  <c r="G38" i="31" s="1"/>
  <c r="G38" i="33" s="1"/>
  <c r="G36" i="31"/>
  <c r="G36" i="33" s="1"/>
  <c r="P249" i="27"/>
  <c r="E36" i="31"/>
  <c r="P245" i="27"/>
  <c r="AP243" i="27"/>
  <c r="O243" i="34"/>
  <c r="V243" i="34" s="1"/>
  <c r="K28" i="30"/>
  <c r="N28" i="30" s="1"/>
  <c r="E28" i="33"/>
  <c r="K28" i="33" s="1"/>
  <c r="N28" i="33" s="1"/>
  <c r="AP245" i="24"/>
  <c r="L245" i="34"/>
  <c r="P247" i="24"/>
  <c r="E38" i="30"/>
  <c r="E38" i="29"/>
  <c r="P247" i="23"/>
  <c r="I245" i="34"/>
  <c r="AP245" i="23"/>
  <c r="AP249" i="23"/>
  <c r="I249" i="34"/>
  <c r="I251" i="34" s="1"/>
  <c r="I253" i="34" s="1"/>
  <c r="E42" i="29"/>
  <c r="P251" i="23"/>
  <c r="E42" i="30"/>
  <c r="L249" i="34"/>
  <c r="L251" i="34" s="1"/>
  <c r="L253" i="34" s="1"/>
  <c r="P251" i="24"/>
  <c r="AP249" i="24"/>
  <c r="D10" i="13"/>
  <c r="D26" i="12"/>
  <c r="H26" i="12" s="1"/>
  <c r="P257" i="1"/>
  <c r="F264" i="34"/>
  <c r="F23" i="9"/>
  <c r="AP247" i="1"/>
  <c r="G40" i="14"/>
  <c r="G30" i="14" s="1"/>
  <c r="K30" i="14" s="1"/>
  <c r="AC251" i="1"/>
  <c r="D22" i="12"/>
  <c r="H22" i="12" s="1"/>
  <c r="F4" i="12" s="1"/>
  <c r="F22" i="13"/>
  <c r="M131" i="22" l="1"/>
  <c r="K131" i="22" s="1"/>
  <c r="AP245" i="28"/>
  <c r="E38" i="32"/>
  <c r="C133" i="22"/>
  <c r="O132" i="22"/>
  <c r="Q132" i="22"/>
  <c r="K303" i="22"/>
  <c r="AG302" i="22"/>
  <c r="D227" i="24" s="1"/>
  <c r="R249" i="34"/>
  <c r="R251" i="34" s="1"/>
  <c r="R253" i="34" s="1"/>
  <c r="E42" i="32"/>
  <c r="E44" i="32" s="1"/>
  <c r="H16" i="13" s="1"/>
  <c r="P251" i="28"/>
  <c r="L21" i="43" s="1"/>
  <c r="L23" i="43" s="1"/>
  <c r="P247" i="28"/>
  <c r="R247" i="34" s="1"/>
  <c r="E36" i="33"/>
  <c r="O249" i="34"/>
  <c r="O251" i="34" s="1"/>
  <c r="O253" i="34" s="1"/>
  <c r="AP249" i="27"/>
  <c r="E42" i="31"/>
  <c r="P251" i="27"/>
  <c r="AP245" i="27"/>
  <c r="O245" i="34"/>
  <c r="V245" i="34" s="1"/>
  <c r="P247" i="27"/>
  <c r="E38" i="31"/>
  <c r="P253" i="23"/>
  <c r="L21" i="40"/>
  <c r="L23" i="40" s="1"/>
  <c r="I19" i="9"/>
  <c r="I21" i="9" s="1"/>
  <c r="P253" i="24"/>
  <c r="L19" i="9"/>
  <c r="L21" i="9" s="1"/>
  <c r="L21" i="41"/>
  <c r="L23" i="41" s="1"/>
  <c r="E44" i="29"/>
  <c r="E30" i="29"/>
  <c r="E21" i="12" s="1"/>
  <c r="E22" i="12" s="1"/>
  <c r="AC247" i="24"/>
  <c r="E40" i="30"/>
  <c r="L247" i="34"/>
  <c r="I247" i="34"/>
  <c r="AC247" i="23"/>
  <c r="E40" i="29"/>
  <c r="E44" i="30"/>
  <c r="E30" i="30"/>
  <c r="F21" i="12" s="1"/>
  <c r="F22" i="12" s="1"/>
  <c r="AP251" i="1"/>
  <c r="AC253" i="1"/>
  <c r="G42" i="14"/>
  <c r="G44" i="14" s="1"/>
  <c r="G19" i="9"/>
  <c r="G21" i="9" s="1"/>
  <c r="Q259" i="1"/>
  <c r="F259" i="34" s="1"/>
  <c r="F257" i="34"/>
  <c r="H4" i="12"/>
  <c r="H8" i="12" s="1"/>
  <c r="F8" i="12"/>
  <c r="E10" i="13"/>
  <c r="D12" i="13"/>
  <c r="AC247" i="28" l="1"/>
  <c r="AC251" i="28" s="1"/>
  <c r="E38" i="33"/>
  <c r="M132" i="22"/>
  <c r="K132" i="22" s="1"/>
  <c r="AG303" i="22"/>
  <c r="D225" i="27" s="1"/>
  <c r="K304" i="22"/>
  <c r="O133" i="22"/>
  <c r="C134" i="22"/>
  <c r="Q133" i="22"/>
  <c r="E40" i="32"/>
  <c r="E30" i="32"/>
  <c r="E42" i="33"/>
  <c r="R19" i="9"/>
  <c r="R21" i="9" s="1"/>
  <c r="P253" i="28"/>
  <c r="R264" i="34" s="1"/>
  <c r="V251" i="34"/>
  <c r="O19" i="9"/>
  <c r="O21" i="9" s="1"/>
  <c r="L21" i="42"/>
  <c r="L23" i="42" s="1"/>
  <c r="L25" i="44" s="1"/>
  <c r="P253" i="27"/>
  <c r="V253" i="34"/>
  <c r="AC247" i="27"/>
  <c r="E40" i="31"/>
  <c r="O247" i="34"/>
  <c r="V247" i="34" s="1"/>
  <c r="AA251" i="34" s="1"/>
  <c r="AA253" i="34" s="1"/>
  <c r="E44" i="31"/>
  <c r="G16" i="13" s="1"/>
  <c r="E30" i="31"/>
  <c r="V249" i="34"/>
  <c r="P257" i="24"/>
  <c r="L23" i="9"/>
  <c r="L264" i="34"/>
  <c r="F16" i="13"/>
  <c r="F26" i="12"/>
  <c r="E26" i="12"/>
  <c r="E16" i="13"/>
  <c r="AP247" i="23"/>
  <c r="G40" i="29"/>
  <c r="G30" i="29" s="1"/>
  <c r="K30" i="29" s="1"/>
  <c r="AC251" i="23"/>
  <c r="AP247" i="24"/>
  <c r="G40" i="30"/>
  <c r="G30" i="30" s="1"/>
  <c r="K30" i="30" s="1"/>
  <c r="AC251" i="24"/>
  <c r="P257" i="23"/>
  <c r="I264" i="34"/>
  <c r="I23" i="9"/>
  <c r="K44" i="14"/>
  <c r="D11" i="13"/>
  <c r="E11" i="13" s="1"/>
  <c r="F11" i="13" s="1"/>
  <c r="G11" i="13" s="1"/>
  <c r="AP253" i="1"/>
  <c r="AP257" i="1" s="1"/>
  <c r="AQ259" i="1" s="1"/>
  <c r="G23" i="9"/>
  <c r="G25" i="9" s="1"/>
  <c r="AB257" i="1"/>
  <c r="AD259" i="1" s="1"/>
  <c r="F261" i="34" s="1"/>
  <c r="H10" i="13"/>
  <c r="H12" i="13" s="1"/>
  <c r="E12" i="13"/>
  <c r="F10" i="13"/>
  <c r="AP247" i="28"/>
  <c r="G40" i="32" l="1"/>
  <c r="G30" i="32" s="1"/>
  <c r="E40" i="33"/>
  <c r="E30" i="33"/>
  <c r="M133" i="22"/>
  <c r="K133" i="22" s="1"/>
  <c r="AG304" i="22"/>
  <c r="D226" i="27" s="1"/>
  <c r="K305" i="22"/>
  <c r="Q134" i="22"/>
  <c r="U122" i="22"/>
  <c r="O134" i="22"/>
  <c r="M134" i="22" s="1"/>
  <c r="K134" i="22" s="1"/>
  <c r="K135" i="22" s="1"/>
  <c r="K136" i="22" s="1"/>
  <c r="O72" i="22" s="1"/>
  <c r="P257" i="28"/>
  <c r="Q259" i="28" s="1"/>
  <c r="R259" i="34" s="1"/>
  <c r="R23" i="9"/>
  <c r="U19" i="9"/>
  <c r="U21" i="9" s="1"/>
  <c r="G21" i="12"/>
  <c r="G22" i="12" s="1"/>
  <c r="H11" i="13"/>
  <c r="L21" i="44"/>
  <c r="L23" i="44" s="1"/>
  <c r="E44" i="33"/>
  <c r="Q56" i="11" s="1"/>
  <c r="Q68" i="11" s="1"/>
  <c r="O23" i="9"/>
  <c r="P257" i="27"/>
  <c r="O264" i="34"/>
  <c r="V264" i="34" s="1"/>
  <c r="G26" i="12"/>
  <c r="AP247" i="27"/>
  <c r="G40" i="31"/>
  <c r="G30" i="31" s="1"/>
  <c r="K30" i="31" s="1"/>
  <c r="AC251" i="27"/>
  <c r="Q259" i="23"/>
  <c r="I259" i="34" s="1"/>
  <c r="I257" i="34"/>
  <c r="AP251" i="23"/>
  <c r="G42" i="29"/>
  <c r="G44" i="29" s="1"/>
  <c r="K44" i="29" s="1"/>
  <c r="J19" i="9"/>
  <c r="J21" i="9" s="1"/>
  <c r="AC253" i="23"/>
  <c r="G42" i="30"/>
  <c r="G44" i="30" s="1"/>
  <c r="K44" i="30" s="1"/>
  <c r="AC253" i="24"/>
  <c r="M19" i="9"/>
  <c r="M21" i="9" s="1"/>
  <c r="AP251" i="24"/>
  <c r="L257" i="34"/>
  <c r="Q259" i="24"/>
  <c r="L259" i="34" s="1"/>
  <c r="G10" i="13"/>
  <c r="G12" i="13" s="1"/>
  <c r="F12" i="13"/>
  <c r="AC253" i="28"/>
  <c r="AP251" i="28"/>
  <c r="G42" i="32"/>
  <c r="G44" i="32" s="1"/>
  <c r="K44" i="32" s="1"/>
  <c r="S19" i="9"/>
  <c r="S21" i="9" s="1"/>
  <c r="R257" i="34" l="1"/>
  <c r="Y70" i="22"/>
  <c r="K306" i="22"/>
  <c r="AG305" i="22"/>
  <c r="D227" i="27" s="1"/>
  <c r="AG122" i="22"/>
  <c r="U123" i="22"/>
  <c r="AI122" i="22"/>
  <c r="H21" i="12"/>
  <c r="G40" i="33"/>
  <c r="Q259" i="27"/>
  <c r="O259" i="34" s="1"/>
  <c r="V259" i="34" s="1"/>
  <c r="O257" i="34"/>
  <c r="AP251" i="27"/>
  <c r="G42" i="31"/>
  <c r="G44" i="31" s="1"/>
  <c r="G44" i="33" s="1"/>
  <c r="P19" i="9"/>
  <c r="P21" i="9" s="1"/>
  <c r="AC253" i="27"/>
  <c r="AC257" i="23"/>
  <c r="AD259" i="23" s="1"/>
  <c r="I261" i="34" s="1"/>
  <c r="J23" i="9"/>
  <c r="J25" i="9" s="1"/>
  <c r="AP253" i="23"/>
  <c r="AP257" i="23" s="1"/>
  <c r="AQ259" i="23" s="1"/>
  <c r="AP253" i="24"/>
  <c r="AP257" i="24" s="1"/>
  <c r="AQ259" i="24" s="1"/>
  <c r="AC257" i="24"/>
  <c r="AD259" i="24" s="1"/>
  <c r="L261" i="34" s="1"/>
  <c r="M23" i="9"/>
  <c r="M25" i="9" s="1"/>
  <c r="S23" i="9"/>
  <c r="AC257" i="28"/>
  <c r="AD259" i="28" s="1"/>
  <c r="R261" i="34" s="1"/>
  <c r="AP253" i="28"/>
  <c r="AP257" i="28" s="1"/>
  <c r="AQ259" i="28" s="1"/>
  <c r="K30" i="32"/>
  <c r="G30" i="33"/>
  <c r="K30" i="33" s="1"/>
  <c r="V257" i="34" l="1"/>
  <c r="AG306" i="22"/>
  <c r="D225" i="28" s="1"/>
  <c r="K307" i="22"/>
  <c r="AG123" i="22"/>
  <c r="U124" i="22"/>
  <c r="AI123" i="22"/>
  <c r="AE122" i="22"/>
  <c r="AC122" i="22" s="1"/>
  <c r="K44" i="31"/>
  <c r="V19" i="9"/>
  <c r="W19" i="9" s="1"/>
  <c r="W21" i="9" s="1"/>
  <c r="G42" i="33"/>
  <c r="P23" i="9"/>
  <c r="AP253" i="27"/>
  <c r="AP257" i="27" s="1"/>
  <c r="AQ259" i="27" s="1"/>
  <c r="AC257" i="27"/>
  <c r="AD259" i="27" s="1"/>
  <c r="O261" i="34" s="1"/>
  <c r="V261" i="34" s="1"/>
  <c r="Z265" i="34" s="1"/>
  <c r="Z266" i="34" s="1"/>
  <c r="G4" i="12"/>
  <c r="G8" i="12" s="1"/>
  <c r="E3" i="13"/>
  <c r="Q58" i="11"/>
  <c r="K44" i="33"/>
  <c r="AG124" i="22" l="1"/>
  <c r="AI124" i="22"/>
  <c r="U125" i="22"/>
  <c r="AE123" i="22"/>
  <c r="AC123" i="22" s="1"/>
  <c r="K308" i="22"/>
  <c r="AG307" i="22"/>
  <c r="D226" i="28" s="1"/>
  <c r="V21" i="9"/>
  <c r="V23" i="9" s="1"/>
  <c r="V25" i="9" s="1"/>
  <c r="E7" i="13"/>
  <c r="H3" i="13"/>
  <c r="H7" i="13" s="1"/>
  <c r="AI125" i="22" l="1"/>
  <c r="AG125" i="22"/>
  <c r="U126" i="22"/>
  <c r="AG308" i="22"/>
  <c r="D227" i="28" s="1"/>
  <c r="K309" i="22"/>
  <c r="AE124" i="22"/>
  <c r="AC124" i="22" s="1"/>
  <c r="AE125" i="22" l="1"/>
  <c r="AC125" i="22" s="1"/>
  <c r="U127" i="22"/>
  <c r="AG126" i="22"/>
  <c r="AI126" i="22"/>
  <c r="AG309" i="22"/>
  <c r="K310" i="22"/>
  <c r="AE126" i="22" l="1"/>
  <c r="AC126" i="22" s="1"/>
  <c r="K311" i="22"/>
  <c r="AG310" i="22"/>
  <c r="AG127" i="22"/>
  <c r="AI127" i="22"/>
  <c r="U129" i="22"/>
  <c r="AE127" i="22" l="1"/>
  <c r="AC127" i="22" s="1"/>
  <c r="AC128" i="22" s="1"/>
  <c r="O80" i="22" s="1"/>
  <c r="U130" i="22"/>
  <c r="AG129" i="22"/>
  <c r="AI129" i="22"/>
  <c r="K312" i="22"/>
  <c r="AG311" i="22"/>
  <c r="AE129" i="22" l="1"/>
  <c r="AC129" i="22" s="1"/>
  <c r="AG130" i="22"/>
  <c r="U131" i="22"/>
  <c r="AI130" i="22"/>
  <c r="AG312" i="22"/>
  <c r="K313" i="22"/>
  <c r="AG313" i="22" s="1"/>
  <c r="AG131" i="22" l="1"/>
  <c r="U132" i="22"/>
  <c r="AI131" i="22"/>
  <c r="AE130" i="22"/>
  <c r="AC130" i="22" s="1"/>
  <c r="AI132" i="22" l="1"/>
  <c r="AG132" i="22"/>
  <c r="U133" i="22"/>
  <c r="AE131" i="22"/>
  <c r="AC131" i="22" s="1"/>
  <c r="AE132" i="22" l="1"/>
  <c r="AC132" i="22" s="1"/>
  <c r="U134" i="22"/>
  <c r="AG133" i="22"/>
  <c r="AI133" i="22"/>
  <c r="AE133" i="22" l="1"/>
  <c r="AC133" i="22" s="1"/>
  <c r="AG134" i="22"/>
  <c r="AM122" i="22"/>
  <c r="AI134" i="22"/>
  <c r="BA122" i="22" l="1"/>
  <c r="AM123" i="22"/>
  <c r="AY122" i="22"/>
  <c r="AE134" i="22"/>
  <c r="AC134" i="22" s="1"/>
  <c r="AC135" i="22" s="1"/>
  <c r="AW122" i="22" l="1"/>
  <c r="AU122" i="22" s="1"/>
  <c r="AA80" i="22"/>
  <c r="AC136" i="22"/>
  <c r="BA123" i="22"/>
  <c r="AM124" i="22"/>
  <c r="AY123" i="22"/>
  <c r="AW123" i="22" l="1"/>
  <c r="AU123" i="22" s="1"/>
  <c r="AM125" i="22"/>
  <c r="AY124" i="22"/>
  <c r="BA124" i="22"/>
  <c r="Y78" i="22"/>
  <c r="AW124" i="22" l="1"/>
  <c r="AU124" i="22" s="1"/>
  <c r="AY125" i="22"/>
  <c r="BA125" i="22"/>
  <c r="AM126" i="22"/>
  <c r="BA126" i="22" l="1"/>
  <c r="AM127" i="22"/>
  <c r="AY126" i="22"/>
  <c r="AW125" i="22"/>
  <c r="AU125" i="22" s="1"/>
  <c r="AW126" i="22" l="1"/>
  <c r="AU126" i="22" s="1"/>
  <c r="AM129" i="22"/>
  <c r="BA127" i="22"/>
  <c r="AY127" i="22"/>
  <c r="AW127" i="22" l="1"/>
  <c r="AU127" i="22" s="1"/>
  <c r="AU128" i="22" s="1"/>
  <c r="O88" i="22" s="1"/>
  <c r="AM130" i="22"/>
  <c r="BA129" i="22"/>
  <c r="AY129" i="22"/>
  <c r="AM131" i="22" l="1"/>
  <c r="BA130" i="22"/>
  <c r="AY130" i="22"/>
  <c r="AW129" i="22"/>
  <c r="AU129" i="22" s="1"/>
  <c r="AW130" i="22" l="1"/>
  <c r="AU130" i="22" s="1"/>
  <c r="AY131" i="22"/>
  <c r="BA131" i="22"/>
  <c r="AM132" i="22"/>
  <c r="AY132" i="22" l="1"/>
  <c r="BA132" i="22"/>
  <c r="AM133" i="22"/>
  <c r="AW131" i="22"/>
  <c r="AU131" i="22" s="1"/>
  <c r="AM134" i="22" l="1"/>
  <c r="AY133" i="22"/>
  <c r="BA133" i="22"/>
  <c r="AW132" i="22"/>
  <c r="AU132" i="22" s="1"/>
  <c r="AW133" i="22" l="1"/>
  <c r="AU133" i="22" s="1"/>
  <c r="C143" i="22"/>
  <c r="AY134" i="22"/>
  <c r="BA134" i="22"/>
  <c r="AW134" i="22" l="1"/>
  <c r="AU134" i="22" s="1"/>
  <c r="AU135" i="22" s="1"/>
  <c r="AU136" i="22" s="1"/>
  <c r="Q143" i="22"/>
  <c r="C144" i="22"/>
  <c r="O143" i="22"/>
  <c r="AA88" i="22" l="1"/>
  <c r="Y86" i="22" s="1"/>
  <c r="C145" i="22"/>
  <c r="Q144" i="22"/>
  <c r="O144" i="22"/>
  <c r="M144" i="22" s="1"/>
  <c r="K144" i="22" s="1"/>
  <c r="M143" i="22"/>
  <c r="K143" i="22" s="1"/>
  <c r="O145" i="22" l="1"/>
  <c r="Q145" i="22"/>
  <c r="C146" i="22"/>
  <c r="O146" i="22" l="1"/>
  <c r="C147" i="22"/>
  <c r="Q146" i="22"/>
  <c r="M145" i="22"/>
  <c r="K145" i="22" s="1"/>
  <c r="Q147" i="22" l="1"/>
  <c r="O147" i="22"/>
  <c r="C148" i="22"/>
  <c r="M146" i="22"/>
  <c r="K146" i="22" s="1"/>
  <c r="M147" i="22" l="1"/>
  <c r="K147" i="22" s="1"/>
  <c r="Q148" i="22"/>
  <c r="C150" i="22"/>
  <c r="O148" i="22"/>
  <c r="M148" i="22" l="1"/>
  <c r="K148" i="22" s="1"/>
  <c r="K149" i="22" s="1"/>
  <c r="O96" i="22" s="1"/>
  <c r="C151" i="22"/>
  <c r="Q150" i="22"/>
  <c r="O150" i="22"/>
  <c r="O151" i="22" l="1"/>
  <c r="C152" i="22"/>
  <c r="Q151" i="22"/>
  <c r="M150" i="22"/>
  <c r="K150" i="22" s="1"/>
  <c r="O152" i="22" l="1"/>
  <c r="Q152" i="22"/>
  <c r="C153" i="22"/>
  <c r="M151" i="22"/>
  <c r="K151" i="22" s="1"/>
  <c r="Q153" i="22" l="1"/>
  <c r="O153" i="22"/>
  <c r="C154" i="22"/>
  <c r="M152" i="22"/>
  <c r="K152" i="22" s="1"/>
  <c r="M153" i="22" l="1"/>
  <c r="K153" i="22" s="1"/>
  <c r="C155" i="22"/>
  <c r="O154" i="22"/>
  <c r="Q154" i="22"/>
  <c r="Q155" i="22" l="1"/>
  <c r="O155" i="22"/>
  <c r="U143" i="22"/>
  <c r="M154" i="22"/>
  <c r="K154" i="22" s="1"/>
  <c r="M155" i="22" l="1"/>
  <c r="K155" i="22" s="1"/>
  <c r="K156" i="22" s="1"/>
  <c r="U144" i="22"/>
  <c r="AG143" i="22"/>
  <c r="AI143" i="22"/>
  <c r="K157" i="22" l="1"/>
  <c r="AA96" i="22"/>
  <c r="AE143" i="22"/>
  <c r="AC143" i="22" s="1"/>
  <c r="AI144" i="22"/>
  <c r="AG144" i="22"/>
  <c r="U145" i="22"/>
  <c r="AG145" i="22" l="1"/>
  <c r="AI145" i="22"/>
  <c r="U146" i="22"/>
  <c r="Y94" i="22"/>
  <c r="AE144" i="22"/>
  <c r="AC144" i="22" s="1"/>
  <c r="AG146" i="22" l="1"/>
  <c r="AI146" i="22"/>
  <c r="U147" i="22"/>
  <c r="AE145" i="22"/>
  <c r="AC145" i="22" s="1"/>
  <c r="AG147" i="22" l="1"/>
  <c r="AI147" i="22"/>
  <c r="U148" i="22"/>
  <c r="AE146" i="22"/>
  <c r="AC146" i="22" s="1"/>
  <c r="U150" i="22" l="1"/>
  <c r="AI148" i="22"/>
  <c r="AG148" i="22"/>
  <c r="AE148" i="22" s="1"/>
  <c r="AC148" i="22" s="1"/>
  <c r="AE147" i="22"/>
  <c r="AC147" i="22" s="1"/>
  <c r="AC149" i="22" l="1"/>
  <c r="O104" i="22" s="1"/>
  <c r="AG150" i="22"/>
  <c r="AI150" i="22"/>
  <c r="U151" i="22"/>
  <c r="AE150" i="22" l="1"/>
  <c r="AC150" i="22" s="1"/>
  <c r="AG151" i="22"/>
  <c r="U152" i="22"/>
  <c r="AI151" i="22"/>
  <c r="U153" i="22" l="1"/>
  <c r="AI152" i="22"/>
  <c r="AG152" i="22"/>
  <c r="AE151" i="22"/>
  <c r="AC151" i="22" s="1"/>
  <c r="AE152" i="22" l="1"/>
  <c r="AC152" i="22" s="1"/>
  <c r="AI153" i="22"/>
  <c r="U154" i="22"/>
  <c r="AG153" i="22"/>
  <c r="AE153" i="22" l="1"/>
  <c r="AC153" i="22" s="1"/>
  <c r="U155" i="22"/>
  <c r="AI154" i="22"/>
  <c r="AG154" i="22"/>
  <c r="AE154" i="22" l="1"/>
  <c r="AC154" i="22" s="1"/>
  <c r="AI155" i="22"/>
  <c r="AM143" i="22"/>
  <c r="AG155" i="22"/>
  <c r="AE155" i="22" l="1"/>
  <c r="AC155" i="22" s="1"/>
  <c r="AC156" i="22" s="1"/>
  <c r="AC157" i="22" s="1"/>
  <c r="BA143" i="22"/>
  <c r="AY143" i="22"/>
  <c r="AW143" i="22" s="1"/>
  <c r="AU143" i="22" s="1"/>
  <c r="AM144" i="22"/>
  <c r="AA104" i="22" l="1"/>
  <c r="Y102" i="22" s="1"/>
  <c r="AY144" i="22"/>
  <c r="AM145" i="22"/>
  <c r="BA144" i="22"/>
  <c r="AW144" i="22" l="1"/>
  <c r="AU144" i="22" s="1"/>
  <c r="BA145" i="22"/>
  <c r="AY145" i="22"/>
  <c r="AM146" i="22"/>
  <c r="AW145" i="22" l="1"/>
  <c r="AU145" i="22" s="1"/>
  <c r="BA146" i="22"/>
  <c r="AM147" i="22"/>
  <c r="AY146" i="22"/>
  <c r="AW146" i="22" l="1"/>
  <c r="AU146" i="22" s="1"/>
  <c r="AY147" i="22"/>
  <c r="AM148" i="22"/>
  <c r="BA147" i="22"/>
  <c r="BA148" i="22" l="1"/>
  <c r="AM150" i="22"/>
  <c r="AY148" i="22"/>
  <c r="AW147" i="22"/>
  <c r="AU147" i="22" s="1"/>
  <c r="AW148" i="22" l="1"/>
  <c r="AU148" i="22" s="1"/>
  <c r="AU149" i="22" s="1"/>
  <c r="BA150" i="22"/>
  <c r="AM151" i="22"/>
  <c r="AY150" i="22"/>
  <c r="AW150" i="22" s="1"/>
  <c r="AU150" i="22" s="1"/>
  <c r="AY151" i="22" l="1"/>
  <c r="BA151" i="22"/>
  <c r="AM152" i="22"/>
  <c r="AY152" i="22" l="1"/>
  <c r="AM153" i="22"/>
  <c r="BA152" i="22"/>
  <c r="AW151" i="22"/>
  <c r="AU151" i="22" s="1"/>
  <c r="BA153" i="22" l="1"/>
  <c r="AY153" i="22"/>
  <c r="AM154" i="22"/>
  <c r="AW152" i="22"/>
  <c r="AU152" i="22" s="1"/>
  <c r="AW153" i="22" l="1"/>
  <c r="AU153" i="22" s="1"/>
  <c r="BA154" i="22"/>
  <c r="AY154" i="22"/>
  <c r="AM155" i="22"/>
  <c r="AW154" i="22" l="1"/>
  <c r="AU154" i="22" s="1"/>
  <c r="BA155" i="22"/>
  <c r="AM156" i="22"/>
  <c r="AY155" i="22"/>
  <c r="AW155" i="22" l="1"/>
  <c r="AU155" i="22" s="1"/>
  <c r="AU156" i="22" s="1"/>
  <c r="AU157" i="22" s="1"/>
  <c r="O112" i="22" s="1"/>
  <c r="Y110" i="22" s="1"/>
  <c r="AE70" i="22" l="1"/>
  <c r="AM22" i="22" s="1"/>
  <c r="AY22" i="22" s="1"/>
  <c r="AI28" i="22" s="1"/>
</calcChain>
</file>

<file path=xl/sharedStrings.xml><?xml version="1.0" encoding="utf-8"?>
<sst xmlns="http://schemas.openxmlformats.org/spreadsheetml/2006/main" count="3611" uniqueCount="1070">
  <si>
    <t>Proposal Name:</t>
  </si>
  <si>
    <t>Principle Investigator:</t>
  </si>
  <si>
    <t>Dept:</t>
  </si>
  <si>
    <t xml:space="preserve">Start Date: </t>
  </si>
  <si>
    <t>Position</t>
  </si>
  <si>
    <t>Data Entry</t>
  </si>
  <si>
    <t xml:space="preserve">End Date: </t>
  </si>
  <si>
    <t>Lookup</t>
  </si>
  <si>
    <t>Below this Line for Reference ONLY - Do not change</t>
  </si>
  <si>
    <t>F &amp; A Base Rate:</t>
  </si>
  <si>
    <t>Finance ONLY:</t>
  </si>
  <si>
    <t>Calculate % based on Days</t>
  </si>
  <si>
    <t>Requested Cost Sharing Rate:</t>
  </si>
  <si>
    <t>Adjust if necessary</t>
  </si>
  <si>
    <t># Hours in Grant</t>
  </si>
  <si>
    <t>Recovered F &amp; A Costs:</t>
  </si>
  <si>
    <t>Enter # days here</t>
  </si>
  <si>
    <t>Days in grant</t>
  </si>
  <si>
    <t>% to enter in Grant</t>
  </si>
  <si>
    <t>Formula Coefficients:</t>
  </si>
  <si>
    <t>Amount</t>
  </si>
  <si>
    <t>Account Code</t>
  </si>
  <si>
    <t>Description</t>
  </si>
  <si>
    <t>Specified Indirect Cost</t>
  </si>
  <si>
    <t>Univ Yr1</t>
  </si>
  <si>
    <t>Per Diem - In State</t>
  </si>
  <si>
    <t>Univ Yr2</t>
  </si>
  <si>
    <t>UnivYr3</t>
  </si>
  <si>
    <t>Per Diem - Out State</t>
  </si>
  <si>
    <t>UnivYr4</t>
  </si>
  <si>
    <t>UnivYr5</t>
  </si>
  <si>
    <t>Lodging - In State</t>
  </si>
  <si>
    <t>UnivYr6</t>
  </si>
  <si>
    <t>Lodging - Out State</t>
  </si>
  <si>
    <t>Mileage (auto)</t>
  </si>
  <si>
    <t>Mileage (suburban)</t>
  </si>
  <si>
    <t>Mileage (4 Wheel Drive)</t>
  </si>
  <si>
    <t>Calculated Dates and Other Items Associated with this Budget:</t>
  </si>
  <si>
    <t>Enter start of current fiscal year here:</t>
  </si>
  <si>
    <t>Text Format of Start Date</t>
  </si>
  <si>
    <t>Text Format of End Date</t>
  </si>
  <si>
    <t>Univ. Year 1 Start Date</t>
  </si>
  <si>
    <t>Univ. Year 1 End Date</t>
  </si>
  <si>
    <t>Total Months in Project</t>
  </si>
  <si>
    <t>Months in Univ. Year 1</t>
  </si>
  <si>
    <t>Univ. Year 2a Start Date</t>
  </si>
  <si>
    <t>Univ. Year 2b Start Date</t>
  </si>
  <si>
    <t>Univ. Year 2a End Date</t>
  </si>
  <si>
    <t>Univ. Year 2b End Date</t>
  </si>
  <si>
    <t>Months in Univ. Year 2a</t>
  </si>
  <si>
    <t>Months in Univ. Year 2b</t>
  </si>
  <si>
    <t>Univ. Year 3a Start Date</t>
  </si>
  <si>
    <t>Univ. Year 3b Start Date</t>
  </si>
  <si>
    <t>Univ. Year 3a End Date</t>
  </si>
  <si>
    <t>Univ. Year 3b End Date</t>
  </si>
  <si>
    <t>Months in Univ. Year 3a</t>
  </si>
  <si>
    <t>Months in Univ. Year 3b</t>
  </si>
  <si>
    <t>Univ. Year 4a Start Date</t>
  </si>
  <si>
    <t>Univ. Year 4b Start Date</t>
  </si>
  <si>
    <t>Univ. Year 4a End Date</t>
  </si>
  <si>
    <t>Univ. Year 4b End Date</t>
  </si>
  <si>
    <t>Months in Univ. Year 4a</t>
  </si>
  <si>
    <t>Months in Univ. Year 4b</t>
  </si>
  <si>
    <t>Univ. Year 5a Start Date</t>
  </si>
  <si>
    <t>Univ. Year 5b Start Date</t>
  </si>
  <si>
    <t>Univ. Year 5a End Date</t>
  </si>
  <si>
    <t>Univ. Year 5b End Date</t>
  </si>
  <si>
    <t>Months in Univ. Year 5a</t>
  </si>
  <si>
    <t>Months in Univ. Year 5b</t>
  </si>
  <si>
    <t>Univ. Year 6a Start Date</t>
  </si>
  <si>
    <t>Univ. Year 6a End Date</t>
  </si>
  <si>
    <t>Months in Univ. Year 6a</t>
  </si>
  <si>
    <t>Start Date</t>
  </si>
  <si>
    <t>End Date</t>
  </si>
  <si>
    <t>year 1</t>
  </si>
  <si>
    <t>after</t>
  </si>
  <si>
    <t>b4</t>
  </si>
  <si>
    <t>year 2</t>
  </si>
  <si>
    <t>year 3</t>
  </si>
  <si>
    <t>year 4</t>
  </si>
  <si>
    <t>year 5</t>
  </si>
  <si>
    <t>year 6</t>
  </si>
  <si>
    <t>Look up Lists and assorted other secret stuff</t>
  </si>
  <si>
    <t>SponsorType</t>
  </si>
  <si>
    <t>Department/Center</t>
  </si>
  <si>
    <t>Graduate</t>
  </si>
  <si>
    <t>Federal</t>
  </si>
  <si>
    <t>AES - Academic &amp; Enrollment Services</t>
  </si>
  <si>
    <t>PhD Student(s)</t>
  </si>
  <si>
    <t>State</t>
  </si>
  <si>
    <t>AML - Additive Manufacturing Laboratory</t>
  </si>
  <si>
    <t>Masters Student(s)</t>
  </si>
  <si>
    <t>Industry</t>
  </si>
  <si>
    <t>AMP - Advanced Materials &amp; Processing Laboratory</t>
  </si>
  <si>
    <t xml:space="preserve">Foundation </t>
  </si>
  <si>
    <t>AS - Atmospheric Sciences</t>
  </si>
  <si>
    <t>Other Source</t>
  </si>
  <si>
    <t>ATHL - Athletics</t>
  </si>
  <si>
    <t>Undergrad</t>
  </si>
  <si>
    <t>Unknown</t>
  </si>
  <si>
    <t>BOOK - Book Store</t>
  </si>
  <si>
    <t>CAMP - Center for Excellence of Advanced Manufacturing Production</t>
  </si>
  <si>
    <t>CAPE - Composite And Ploymer Engineering Laboratory</t>
  </si>
  <si>
    <t>CAR PLAN - Career Planning</t>
  </si>
  <si>
    <t>CBE - Chemical &amp; Biological Engineering</t>
  </si>
  <si>
    <t>CBERD - Center for BioEnregy Research &amp; processing</t>
  </si>
  <si>
    <t>CBRD - Center for Bioprocess Research &amp; Development</t>
  </si>
  <si>
    <t>CEE - Civil &amp; Environmental Engineering</t>
  </si>
  <si>
    <t>CFSP - Center for Friction Stir Processing</t>
  </si>
  <si>
    <t>CHEM - Chemistry</t>
  </si>
  <si>
    <t>DEV - Devereaux Library</t>
  </si>
  <si>
    <t>DUSEL - Deep Underground Science &amp; Engineering Laboratory</t>
  </si>
  <si>
    <t>ECDEV - Economic Development</t>
  </si>
  <si>
    <t>ECML - Expirmental &amp; Computational Mechanics Laboratory</t>
  </si>
  <si>
    <t>EMES - Engineering &amp; Mining Experimentation Station</t>
  </si>
  <si>
    <t>EPSCOR - Experimental Program to Stimulate Competitive Research</t>
  </si>
  <si>
    <t>FAO - Financial Aid Office</t>
  </si>
  <si>
    <t>GEOL - Geology &amp; Geological Engineering</t>
  </si>
  <si>
    <t>HR - Human Resources</t>
  </si>
  <si>
    <t>HUM - Humanities</t>
  </si>
  <si>
    <t>IE - Industrial Engineering</t>
  </si>
  <si>
    <t>IS - Interdisciplinary Studies</t>
  </si>
  <si>
    <t>ITS - Information Technology Services</t>
  </si>
  <si>
    <t>MCE - Mining Center of Excellence</t>
  </si>
  <si>
    <t>ME - Mechanical Engineering</t>
  </si>
  <si>
    <t>MEM - Mining Engineering &amp; Management</t>
  </si>
  <si>
    <t>MET - Materials &amp; Metallurgical Engineering</t>
  </si>
  <si>
    <t>MS - Military Science</t>
  </si>
  <si>
    <t>MUSM - Museum of Geology</t>
  </si>
  <si>
    <t>NANO - Nanoscience &amp; Engineering</t>
  </si>
  <si>
    <t>NASA-EPSCoR</t>
  </si>
  <si>
    <t>OGE - Office of Graduate Education</t>
  </si>
  <si>
    <t>OMA - Office of Multicultural Affairs</t>
  </si>
  <si>
    <t>PHY - Physical Education</t>
  </si>
  <si>
    <t>PHYSICS - Physics</t>
  </si>
  <si>
    <t>PP - Physical Plant</t>
  </si>
  <si>
    <t>PRES - President's Office</t>
  </si>
  <si>
    <t>R3S - Repair, Refurbish &amp; Return to Service Center</t>
  </si>
  <si>
    <t>RERL - Renewable Energy Research Laboratory</t>
  </si>
  <si>
    <t>SKILL - Scientific Knowledge for Indian Learning &amp; Leadership</t>
  </si>
  <si>
    <t xml:space="preserve">SS - Social Sciences </t>
  </si>
  <si>
    <t>SUR - Surbeck Center</t>
  </si>
  <si>
    <t>UPR - University &amp; Public Relations</t>
  </si>
  <si>
    <t>VPAA - Provost/Academic Affairs</t>
  </si>
  <si>
    <t>VPFA - Finance &amp; Administration</t>
  </si>
  <si>
    <t>VPRA - Research Affairs</t>
  </si>
  <si>
    <t>VPSA - Student Affairs</t>
  </si>
  <si>
    <t>Please Select a Department from the List Above</t>
  </si>
  <si>
    <t>Proposal Periods</t>
  </si>
  <si>
    <t>Student Rates</t>
  </si>
  <si>
    <t>Acad</t>
  </si>
  <si>
    <t>YR1Start</t>
  </si>
  <si>
    <t>YR1End</t>
  </si>
  <si>
    <t>YR2Start</t>
  </si>
  <si>
    <t>Undergraduate</t>
  </si>
  <si>
    <t>YR2End</t>
  </si>
  <si>
    <t>Hrs in Month</t>
  </si>
  <si>
    <t>YR3Start</t>
  </si>
  <si>
    <t>YR3End</t>
  </si>
  <si>
    <t>YR4Start</t>
  </si>
  <si>
    <t>YR4End</t>
  </si>
  <si>
    <t>YR5Start</t>
  </si>
  <si>
    <t>YR5End</t>
  </si>
  <si>
    <t>COLA</t>
  </si>
  <si>
    <t>FrCOLA</t>
  </si>
  <si>
    <t>TROutStart</t>
  </si>
  <si>
    <t>Update this number when tuition changes every year and update the fiscal year box in AM62</t>
  </si>
  <si>
    <t>TRInStart</t>
  </si>
  <si>
    <t>FRINGE</t>
  </si>
  <si>
    <t>StuFRINGE</t>
  </si>
  <si>
    <t>Tuition Remission Table</t>
  </si>
  <si>
    <t>Semester</t>
  </si>
  <si>
    <t>Cal YR</t>
  </si>
  <si>
    <t>Acad Yr</t>
  </si>
  <si>
    <t>Cr Hrs</t>
  </si>
  <si>
    <t>Rate</t>
  </si>
  <si>
    <t>Total TR</t>
  </si>
  <si>
    <t>Start Semester</t>
  </si>
  <si>
    <t>End Semester</t>
  </si>
  <si>
    <t>Test</t>
  </si>
  <si>
    <t>A.</t>
  </si>
  <si>
    <t>Summer</t>
  </si>
  <si>
    <t>B.</t>
  </si>
  <si>
    <t>Fall</t>
  </si>
  <si>
    <t>C.</t>
  </si>
  <si>
    <t>Spring</t>
  </si>
  <si>
    <t>Name</t>
  </si>
  <si>
    <t>Department</t>
  </si>
  <si>
    <t>contract months</t>
  </si>
  <si>
    <t>vacation accrual</t>
  </si>
  <si>
    <t>Contract Salary</t>
  </si>
  <si>
    <t>Annualized salary</t>
  </si>
  <si>
    <t>Annualized salary w/ vacation accrual</t>
  </si>
  <si>
    <t>Annualized salary w/ vacation &amp; COLA</t>
  </si>
  <si>
    <t>Annualized Monthly salary w/ vacation &amp; COLA</t>
  </si>
  <si>
    <t>Desc</t>
  </si>
  <si>
    <t>Aadland, Susan</t>
  </si>
  <si>
    <t>12</t>
  </si>
  <si>
    <t>Director</t>
  </si>
  <si>
    <t>Abata, Duane</t>
  </si>
  <si>
    <t>9</t>
  </si>
  <si>
    <t>0</t>
  </si>
  <si>
    <t>Professor - 9</t>
  </si>
  <si>
    <t>Adcock, Peter</t>
  </si>
  <si>
    <t>Instructor Senior Lecturer - 9</t>
  </si>
  <si>
    <t>Aga, Karmen</t>
  </si>
  <si>
    <t>Accounting Manager</t>
  </si>
  <si>
    <t>Ahrenkiel, Scott</t>
  </si>
  <si>
    <t>Allard, Ivy</t>
  </si>
  <si>
    <t>Instructor Lecturer - 9</t>
  </si>
  <si>
    <t>Alley, Kathryn</t>
  </si>
  <si>
    <t>Other Assoc VP/Administrator</t>
  </si>
  <si>
    <t>Amar, Vinod</t>
  </si>
  <si>
    <t>Researcher I</t>
  </si>
  <si>
    <t>Andersen, Patricia</t>
  </si>
  <si>
    <t>Associate Librarian</t>
  </si>
  <si>
    <t>Anderson, Laurie</t>
  </si>
  <si>
    <t>Professor - 12</t>
  </si>
  <si>
    <t>Anderson, Robert</t>
  </si>
  <si>
    <t>Assistant Professor - 9</t>
  </si>
  <si>
    <t>Armour, Gary</t>
  </si>
  <si>
    <t>Facility Worker</t>
  </si>
  <si>
    <t>Armstrong, Haley</t>
  </si>
  <si>
    <t>Arneson-Meyer, Lois</t>
  </si>
  <si>
    <t>Ash, Jason</t>
  </si>
  <si>
    <t>Associate Professor - 9</t>
  </si>
  <si>
    <t>Bai, Xinhua</t>
  </si>
  <si>
    <t>Baran, Zeynep</t>
  </si>
  <si>
    <t>Bares, Jason</t>
  </si>
  <si>
    <t>Building Maint Specialist</t>
  </si>
  <si>
    <t>Bartlett, Ricky</t>
  </si>
  <si>
    <t>Senior Security Officer</t>
  </si>
  <si>
    <t>Baskerville, Lila</t>
  </si>
  <si>
    <t>Senior Secretary</t>
  </si>
  <si>
    <t>Bauder, Wanda</t>
  </si>
  <si>
    <t>Bauer, Steven</t>
  </si>
  <si>
    <t>Systems Software Specialist</t>
  </si>
  <si>
    <t>Bauer, Jennifer</t>
  </si>
  <si>
    <t>Purchasing/Property Mgmt Offic</t>
  </si>
  <si>
    <t>Beckwith, Vischia</t>
  </si>
  <si>
    <t>Accountant</t>
  </si>
  <si>
    <t>Beeler, Scott</t>
  </si>
  <si>
    <t>Research Scientist II</t>
  </si>
  <si>
    <t>Belcher, Nathan</t>
  </si>
  <si>
    <t>Specialist</t>
  </si>
  <si>
    <t>Bender, Vickie</t>
  </si>
  <si>
    <t>Associate Director</t>
  </si>
  <si>
    <t>Benjamin, Kenneth</t>
  </si>
  <si>
    <t>Bheemasetti, Tejo</t>
  </si>
  <si>
    <t>Bienert, Clifford</t>
  </si>
  <si>
    <t>Instructor - 9</t>
  </si>
  <si>
    <t>Bienert, Debra</t>
  </si>
  <si>
    <t>Senior Lecturer - 9</t>
  </si>
  <si>
    <t>Biggins, Amy</t>
  </si>
  <si>
    <t>Blume, Bradley</t>
  </si>
  <si>
    <t>Assistant Director</t>
  </si>
  <si>
    <t>Bonlander, Hope</t>
  </si>
  <si>
    <t>Assistant Coach</t>
  </si>
  <si>
    <t>Bowron, Mark</t>
  </si>
  <si>
    <t>Braman, Karen</t>
  </si>
  <si>
    <t>Brenneman, Anita</t>
  </si>
  <si>
    <t>Program Assistant I</t>
  </si>
  <si>
    <t>Brentlinger, Ann</t>
  </si>
  <si>
    <t>Brenza, Timothy</t>
  </si>
  <si>
    <t>Brickey, Andrea</t>
  </si>
  <si>
    <t>Bruno, Nickolaus</t>
  </si>
  <si>
    <t>Buddle, Kevin</t>
  </si>
  <si>
    <t>Building Manager</t>
  </si>
  <si>
    <t>Bumbach, Matthew</t>
  </si>
  <si>
    <t>Academic Director</t>
  </si>
  <si>
    <t>Burgess, Olivia A</t>
  </si>
  <si>
    <t>Assistant Professor</t>
  </si>
  <si>
    <t>Cabral, Starletta</t>
  </si>
  <si>
    <t>Capehart, William</t>
  </si>
  <si>
    <t>Carlson, Lisa</t>
  </si>
  <si>
    <t>Carreon-Garciduenas, Maria</t>
  </si>
  <si>
    <t>Carter, Michael</t>
  </si>
  <si>
    <t>Researcher II</t>
  </si>
  <si>
    <t>Caudle, Kyle</t>
  </si>
  <si>
    <t>Celik, Ilke</t>
  </si>
  <si>
    <t>Chen, Chunhui</t>
  </si>
  <si>
    <t>Chott, Nicholas</t>
  </si>
  <si>
    <t>Post-Doc</t>
  </si>
  <si>
    <t>Choudhary, Neha</t>
  </si>
  <si>
    <t>Electrical &amp; Computer Engineering</t>
  </si>
  <si>
    <t>Chowanski, Kurt</t>
  </si>
  <si>
    <t>Christofferson, Cabot-Ann</t>
  </si>
  <si>
    <t>Clabo, Darren</t>
  </si>
  <si>
    <t>Assistant Professor - 12</t>
  </si>
  <si>
    <t>Cooper, Forest</t>
  </si>
  <si>
    <t>Fabrication Technician</t>
  </si>
  <si>
    <t>Corey, Robert</t>
  </si>
  <si>
    <t>Cox, Cheryl</t>
  </si>
  <si>
    <t>Budget Analyst</t>
  </si>
  <si>
    <t>Crawford, Grant</t>
  </si>
  <si>
    <t>Cross, William</t>
  </si>
  <si>
    <t>Curtis, Todd</t>
  </si>
  <si>
    <t>Darrow, Monica</t>
  </si>
  <si>
    <t>Davies, Cindy</t>
  </si>
  <si>
    <t>Davies, Reta</t>
  </si>
  <si>
    <t>Davis, Angela</t>
  </si>
  <si>
    <t>President</t>
  </si>
  <si>
    <t>Secretary</t>
  </si>
  <si>
    <t>Day, Jon</t>
  </si>
  <si>
    <t>De Castro, Daniel</t>
  </si>
  <si>
    <t>Degen, Cassandra</t>
  </si>
  <si>
    <t>Delgado, Thomas</t>
  </si>
  <si>
    <t>Manager</t>
  </si>
  <si>
    <t>Den Otter, Brenda</t>
  </si>
  <si>
    <t>Purchasing Specialist</t>
  </si>
  <si>
    <t>Deschamp, Brent</t>
  </si>
  <si>
    <t>Devries, Shawn</t>
  </si>
  <si>
    <t>Equipment Mechanic</t>
  </si>
  <si>
    <t>Dhiman, Saurabh</t>
  </si>
  <si>
    <t>Researcher III</t>
  </si>
  <si>
    <t>Diwakar, Prasoon</t>
  </si>
  <si>
    <t>Dixon, David</t>
  </si>
  <si>
    <t>Donovan (Walker), Katrina J</t>
  </si>
  <si>
    <t>Dowding, Michael</t>
  </si>
  <si>
    <t>Dreyer, John</t>
  </si>
  <si>
    <t>Duke, Edward</t>
  </si>
  <si>
    <t>Durkin, Cathy</t>
  </si>
  <si>
    <t>Durkin, Thomas</t>
  </si>
  <si>
    <t>Dir Outreach Svc</t>
  </si>
  <si>
    <t>Eastman, Diana</t>
  </si>
  <si>
    <t>Registration Officer</t>
  </si>
  <si>
    <t>Easton, Julia</t>
  </si>
  <si>
    <t>Webmaster</t>
  </si>
  <si>
    <t>Eaton, Hilary</t>
  </si>
  <si>
    <t>Program Assistant II</t>
  </si>
  <si>
    <t>Edwards, Gina</t>
  </si>
  <si>
    <t>Erickson, Jason</t>
  </si>
  <si>
    <t>Etchison, John</t>
  </si>
  <si>
    <t>Grounds Supervisor</t>
  </si>
  <si>
    <t>Farrington, Mary Jo</t>
  </si>
  <si>
    <t>Feiler, Nancy</t>
  </si>
  <si>
    <t>BOR HR Generalist I</t>
  </si>
  <si>
    <t>Fekrmandi, Hadi</t>
  </si>
  <si>
    <t>Filipov, Ivan</t>
  </si>
  <si>
    <t>Filipova, Tsvetanka</t>
  </si>
  <si>
    <t>Finnesand, Dane</t>
  </si>
  <si>
    <t>Senior Comp Sup Spec</t>
  </si>
  <si>
    <t>Fischer, Ann</t>
  </si>
  <si>
    <t>Programmer/Analyst</t>
  </si>
  <si>
    <t>Fischer, Shawn</t>
  </si>
  <si>
    <t>Grounds Keeper</t>
  </si>
  <si>
    <t>Fleming, Patrick</t>
  </si>
  <si>
    <t>Flom, Derek</t>
  </si>
  <si>
    <t>Coordinator</t>
  </si>
  <si>
    <t>Fong, Hao</t>
  </si>
  <si>
    <t>Forney, Heather</t>
  </si>
  <si>
    <t>Controller</t>
  </si>
  <si>
    <t>French, Adam</t>
  </si>
  <si>
    <t>Gadhamshetty, Venkata</t>
  </si>
  <si>
    <t>Garlick, Martha</t>
  </si>
  <si>
    <t>Geza Nisrani, Mengistu</t>
  </si>
  <si>
    <t>Gibson, Jonathan</t>
  </si>
  <si>
    <t>Gilcrease, Kelsey</t>
  </si>
  <si>
    <t>Gilcrease, Patrick</t>
  </si>
  <si>
    <t>Gilley, David</t>
  </si>
  <si>
    <t>Gilmore, Allison</t>
  </si>
  <si>
    <t>Glenn, Eric</t>
  </si>
  <si>
    <t>Grieve, Peter</t>
  </si>
  <si>
    <t>Groven, Lori</t>
  </si>
  <si>
    <t>Haakenson, Daniel</t>
  </si>
  <si>
    <t>Hall, Robert</t>
  </si>
  <si>
    <t>Professor/Department Head</t>
  </si>
  <si>
    <t>Hammell, Joshua</t>
  </si>
  <si>
    <t>Hanley, Matthew</t>
  </si>
  <si>
    <t>Harkin, Samantha A</t>
  </si>
  <si>
    <t>Hauf, Darin</t>
  </si>
  <si>
    <t>Haugtvedt, Erica</t>
  </si>
  <si>
    <t>Headley, Cory</t>
  </si>
  <si>
    <t>Dir Student Activities</t>
  </si>
  <si>
    <t>Heenan, Cleo</t>
  </si>
  <si>
    <t>Heglund, Dan</t>
  </si>
  <si>
    <t>Helgeson, Catherine</t>
  </si>
  <si>
    <t>Herman, Jade</t>
  </si>
  <si>
    <t>Herrera, Jesus</t>
  </si>
  <si>
    <t>Hill, Brian</t>
  </si>
  <si>
    <t>Information Specialist</t>
  </si>
  <si>
    <t>Hinker, Paul</t>
  </si>
  <si>
    <t>Hirschfeld, Regina</t>
  </si>
  <si>
    <t>Hise, Cindy</t>
  </si>
  <si>
    <t>Hodges, Neal</t>
  </si>
  <si>
    <t>Hong, Haiping</t>
  </si>
  <si>
    <t>Researcher IV</t>
  </si>
  <si>
    <t>Hoover, Randy</t>
  </si>
  <si>
    <t>Howard, Rachel</t>
  </si>
  <si>
    <t>Hubbard, Constance E</t>
  </si>
  <si>
    <t>Instructor</t>
  </si>
  <si>
    <t>Hudgens, Michael</t>
  </si>
  <si>
    <t>Hunter, Brittany</t>
  </si>
  <si>
    <t>Lead Mail Processor</t>
  </si>
  <si>
    <t>Ireland, Vincent</t>
  </si>
  <si>
    <t>Jasthi, Bharat</t>
  </si>
  <si>
    <t>Jensen, Dean</t>
  </si>
  <si>
    <t>Johnson, Steven</t>
  </si>
  <si>
    <t>Coach</t>
  </si>
  <si>
    <t>Johnson, Roger</t>
  </si>
  <si>
    <t>Jorgensen, David</t>
  </si>
  <si>
    <t>Senior Building Maint Worker</t>
  </si>
  <si>
    <t>Jutila, Alexa</t>
  </si>
  <si>
    <t>Kalimuthu, Jawahar</t>
  </si>
  <si>
    <t>Karim, Rifat</t>
  </si>
  <si>
    <t>Research Scientist I</t>
  </si>
  <si>
    <t>Karlsson, Christer</t>
  </si>
  <si>
    <t>Katzenstein, Kurt</t>
  </si>
  <si>
    <t>Keenan, Sarah</t>
  </si>
  <si>
    <t>Kellar, Jon</t>
  </si>
  <si>
    <t>Kerk, Carter</t>
  </si>
  <si>
    <t>Kinzer, Marlin</t>
  </si>
  <si>
    <t>Dir Bookstore</t>
  </si>
  <si>
    <t>Kliche, Donna</t>
  </si>
  <si>
    <t>Knudson, Ardell</t>
  </si>
  <si>
    <t>Knutson, Kevan</t>
  </si>
  <si>
    <t>Koontz, Ryan</t>
  </si>
  <si>
    <t>Engineer</t>
  </si>
  <si>
    <t>Kouris, Demitris</t>
  </si>
  <si>
    <t>Chief Academic Officer</t>
  </si>
  <si>
    <t>Kowalski, Robert</t>
  </si>
  <si>
    <t>Krein, Christal</t>
  </si>
  <si>
    <t>Kremmel, Laura</t>
  </si>
  <si>
    <t>Krosschell, Connie</t>
  </si>
  <si>
    <t>Kugler, Kristen</t>
  </si>
  <si>
    <t>Kumar Dubey, Saurav</t>
  </si>
  <si>
    <t>Kunza, Lisa</t>
  </si>
  <si>
    <t>Kursave, Tim</t>
  </si>
  <si>
    <t>Physical Plant Manager I</t>
  </si>
  <si>
    <t>Lalley, Aaron</t>
  </si>
  <si>
    <t>Instructor - 12</t>
  </si>
  <si>
    <t>Lande, Micah</t>
  </si>
  <si>
    <t>Langdell, Anne</t>
  </si>
  <si>
    <t>Langemeier, Jeffrey</t>
  </si>
  <si>
    <t>Larochelle, Pierre</t>
  </si>
  <si>
    <t>Laskowski, Tom</t>
  </si>
  <si>
    <t>Computer Support Analyst</t>
  </si>
  <si>
    <t>Lehmann, Tristin</t>
  </si>
  <si>
    <t>Lembcke, Lawrence</t>
  </si>
  <si>
    <t>Leonard, Thomas</t>
  </si>
  <si>
    <t>Computer Support Specialist</t>
  </si>
  <si>
    <t>Leonard, William</t>
  </si>
  <si>
    <t>Li, Liangping</t>
  </si>
  <si>
    <t>Lien, Sheila</t>
  </si>
  <si>
    <t>Senior Accountant</t>
  </si>
  <si>
    <t>Lindsley, Stephanie</t>
  </si>
  <si>
    <t>Scheduling Services</t>
  </si>
  <si>
    <t>Lineweber, Michelle</t>
  </si>
  <si>
    <t>Lingwall, Bret</t>
  </si>
  <si>
    <t>Lueken, Joel</t>
  </si>
  <si>
    <t>Dir Athletics</t>
  </si>
  <si>
    <t>Maddox, Ashli</t>
  </si>
  <si>
    <t>Counselor/Admission Rep II</t>
  </si>
  <si>
    <t>Mahon, Patricia</t>
  </si>
  <si>
    <t>Chief Student Affairs Officer</t>
  </si>
  <si>
    <t>Mahon, Thomas</t>
  </si>
  <si>
    <t>Mannhalter, Michael</t>
  </si>
  <si>
    <t>Marshall, Joseph</t>
  </si>
  <si>
    <t>Martin, David</t>
  </si>
  <si>
    <t>Dir Student Fin Aid</t>
  </si>
  <si>
    <t>Martinez Caicedo, David</t>
  </si>
  <si>
    <t>Masterlark, Timothy</t>
  </si>
  <si>
    <t>Matejcik, Frank</t>
  </si>
  <si>
    <t>Mathis, Jodi</t>
  </si>
  <si>
    <t>Mattoon, Angela</t>
  </si>
  <si>
    <t>Senior Programmer Analyst</t>
  </si>
  <si>
    <t>McCormick, Kelli</t>
  </si>
  <si>
    <t>McCulley, Michael T</t>
  </si>
  <si>
    <t>Assistant Football Coach</t>
  </si>
  <si>
    <t>McGough, Jeffrey</t>
  </si>
  <si>
    <t>McNutt, Jason</t>
  </si>
  <si>
    <t>Menkhaus, Todd</t>
  </si>
  <si>
    <t>Mergen, David</t>
  </si>
  <si>
    <t>Merkwan, Tamara</t>
  </si>
  <si>
    <t>Payroll Assistant</t>
  </si>
  <si>
    <t>Messick, Lonnie</t>
  </si>
  <si>
    <t>Mettler, David</t>
  </si>
  <si>
    <t>Accounting Assistant</t>
  </si>
  <si>
    <t>Milek, Emily</t>
  </si>
  <si>
    <t>Miller, Dawn</t>
  </si>
  <si>
    <t>Miller, Duane</t>
  </si>
  <si>
    <t>Montgomery, Bowan</t>
  </si>
  <si>
    <t>Montoya, Thomas</t>
  </si>
  <si>
    <t>Mooney, Craig</t>
  </si>
  <si>
    <t>Moore, Leslee</t>
  </si>
  <si>
    <t>Moore, Molly</t>
  </si>
  <si>
    <t>Morrow, Johnica</t>
  </si>
  <si>
    <t>Advisor</t>
  </si>
  <si>
    <t>Muci Kuchler, Karim</t>
  </si>
  <si>
    <t>Mustard, Barbara</t>
  </si>
  <si>
    <t>Na, Hyeong Suk</t>
  </si>
  <si>
    <t>Nielsen, Roger</t>
  </si>
  <si>
    <t>Research Scientist IV</t>
  </si>
  <si>
    <t>Numan-Al-Mobin, Abu Md</t>
  </si>
  <si>
    <t>Nussbaum, Bryce</t>
  </si>
  <si>
    <t>Residence Hall Director</t>
  </si>
  <si>
    <t>O'Brien, Bradley</t>
  </si>
  <si>
    <t>Computer Support Team Ldr</t>
  </si>
  <si>
    <t>O'Neill, Cody</t>
  </si>
  <si>
    <t>O'Neill, Cecile</t>
  </si>
  <si>
    <t>Materials Lab Technician</t>
  </si>
  <si>
    <t>O'Neill, Kelsey</t>
  </si>
  <si>
    <t>Opsal, Brent</t>
  </si>
  <si>
    <t>Osberg, Kimberly</t>
  </si>
  <si>
    <t>Ozdemir, Tugba</t>
  </si>
  <si>
    <t>Pagnac, Darrin</t>
  </si>
  <si>
    <t>Parrow, Douglas</t>
  </si>
  <si>
    <t>Paudel, Tula</t>
  </si>
  <si>
    <t>Pellowski, Christopher</t>
  </si>
  <si>
    <t>Peters, Arana</t>
  </si>
  <si>
    <t>Music</t>
  </si>
  <si>
    <t>Petersen, Jacob</t>
  </si>
  <si>
    <t>Piper, Adam</t>
  </si>
  <si>
    <t>Porzelt, Liana</t>
  </si>
  <si>
    <t>Price, Curtis</t>
  </si>
  <si>
    <t>Price, Maribeth</t>
  </si>
  <si>
    <t>Academic Dean</t>
  </si>
  <si>
    <t>Pritchard, Jason</t>
  </si>
  <si>
    <t>Bookstore Buyer</t>
  </si>
  <si>
    <t>Pritchard, Kayla</t>
  </si>
  <si>
    <t>Prosneski, Leslie</t>
  </si>
  <si>
    <t>Pyeatt, Larry</t>
  </si>
  <si>
    <t>Qiao, Mengyu</t>
  </si>
  <si>
    <t>Racz, Sara</t>
  </si>
  <si>
    <t>Ragi, Shankarachary</t>
  </si>
  <si>
    <t>Randle, James</t>
  </si>
  <si>
    <t>Technology Integration Spec</t>
  </si>
  <si>
    <t>Rank, Megan</t>
  </si>
  <si>
    <t>Rankin, James</t>
  </si>
  <si>
    <t>Chief Executive Officer</t>
  </si>
  <si>
    <t>Rathinam, Navanietha Krish</t>
  </si>
  <si>
    <t>Ray, Charles</t>
  </si>
  <si>
    <t>Rebenitsch, Lisa</t>
  </si>
  <si>
    <t>Rederth, Daniel</t>
  </si>
  <si>
    <t>Reichenbacher, Juergen</t>
  </si>
  <si>
    <t>Reid, Sharon</t>
  </si>
  <si>
    <t>Richard-Greer, Michelle</t>
  </si>
  <si>
    <t>Riley, Beth</t>
  </si>
  <si>
    <t>Riley, Kyle</t>
  </si>
  <si>
    <t>Associate Professor - 12</t>
  </si>
  <si>
    <t>Roberts, Lance</t>
  </si>
  <si>
    <t>Roberts, Herman</t>
  </si>
  <si>
    <t>Roberts, Jerilyn</t>
  </si>
  <si>
    <t>Robinson, Marc</t>
  </si>
  <si>
    <t>Roderiques, Jeffrey</t>
  </si>
  <si>
    <t>Roggenthen, William</t>
  </si>
  <si>
    <t>Romkes, Albert</t>
  </si>
  <si>
    <t>Rowse, Debra</t>
  </si>
  <si>
    <t>Roy, Sayan</t>
  </si>
  <si>
    <t>Salem, David</t>
  </si>
  <si>
    <t>Sani, Rajesh</t>
  </si>
  <si>
    <t>Sawyer, John</t>
  </si>
  <si>
    <t>Schell, Sherry</t>
  </si>
  <si>
    <t>Personnel Assistant</t>
  </si>
  <si>
    <t>Schnee, Richard</t>
  </si>
  <si>
    <t>Schrader, Roger</t>
  </si>
  <si>
    <t>Schumacher, Bryan</t>
  </si>
  <si>
    <t>Director of Computing Services</t>
  </si>
  <si>
    <t>Schwartz, Susan</t>
  </si>
  <si>
    <t>Schwede, Darren</t>
  </si>
  <si>
    <t>Schweigerdt, Cassie</t>
  </si>
  <si>
    <t>Scott, Brandon</t>
  </si>
  <si>
    <t>Research Assistant Professor</t>
  </si>
  <si>
    <t>Sehr, Curtis</t>
  </si>
  <si>
    <t>Shahbazi, Khosro</t>
  </si>
  <si>
    <t>Shchepin, Roman</t>
  </si>
  <si>
    <t>Shearer, Christopher</t>
  </si>
  <si>
    <t>Shende, Anuradha</t>
  </si>
  <si>
    <t>Lecturer</t>
  </si>
  <si>
    <t>Shende, Rajesh</t>
  </si>
  <si>
    <t>Sieverding, Heidi</t>
  </si>
  <si>
    <t>Sigler, Genene</t>
  </si>
  <si>
    <t>Sinden, Richard</t>
  </si>
  <si>
    <t>Skavang, Shaun</t>
  </si>
  <si>
    <t>Assistant Athletic Trainer</t>
  </si>
  <si>
    <t>Smallbrock, Margaret</t>
  </si>
  <si>
    <t>Smirnova, Alevtina</t>
  </si>
  <si>
    <t>Smith, Steve</t>
  </si>
  <si>
    <t>Sobolev, Vladimir</t>
  </si>
  <si>
    <t>Solano, Valerie</t>
  </si>
  <si>
    <t xml:space="preserve">Starmer, Kristine </t>
  </si>
  <si>
    <t>Research Prject &amp; Office Coord</t>
  </si>
  <si>
    <t>Steiner, Sarah</t>
  </si>
  <si>
    <t>Information Technology Speclst</t>
  </si>
  <si>
    <t>Stetler, Larry</t>
  </si>
  <si>
    <t>Stone, James</t>
  </si>
  <si>
    <t>Strieder, Frank</t>
  </si>
  <si>
    <t>Sumners, Jamie</t>
  </si>
  <si>
    <t>Surovek, Andrea</t>
  </si>
  <si>
    <t>Sybrant, Michael A</t>
  </si>
  <si>
    <t>Assistant Basketball Coach</t>
  </si>
  <si>
    <t>Taylor, Janet</t>
  </si>
  <si>
    <t>Taylor Rick, Lynn</t>
  </si>
  <si>
    <t>Teets, Donald</t>
  </si>
  <si>
    <t>Tesch, Joel</t>
  </si>
  <si>
    <t>Storekeeper</t>
  </si>
  <si>
    <t>Thomas, Evan</t>
  </si>
  <si>
    <t>Thompson, Forrest</t>
  </si>
  <si>
    <t>Thompson, Ryan</t>
  </si>
  <si>
    <t>Thompson, Jared</t>
  </si>
  <si>
    <t>Thornburg, Shannon</t>
  </si>
  <si>
    <t>Tibke, Zane</t>
  </si>
  <si>
    <t>Communications Network Analyst</t>
  </si>
  <si>
    <t>Tidwell, Christy</t>
  </si>
  <si>
    <t>Tillman, Timothy</t>
  </si>
  <si>
    <t>Tinker, Marnie</t>
  </si>
  <si>
    <t>Tompkins, Deborah</t>
  </si>
  <si>
    <t>Torvi, Lauren</t>
  </si>
  <si>
    <t>Tukkaraja, Purushotham</t>
  </si>
  <si>
    <t>Two Bulls, Kaylynn</t>
  </si>
  <si>
    <t>Ustunisik, Gokce</t>
  </si>
  <si>
    <t>Uzunlar, Nuri</t>
  </si>
  <si>
    <t>Van Nuys, Frank</t>
  </si>
  <si>
    <t>Vander Heyden, Michael</t>
  </si>
  <si>
    <t>Vieira, Karen</t>
  </si>
  <si>
    <t>Library Associate</t>
  </si>
  <si>
    <t>Vigil, Hallie</t>
  </si>
  <si>
    <t>Viken, Robert</t>
  </si>
  <si>
    <t>Von Eye, Benjamin</t>
  </si>
  <si>
    <t>Wagner, Heidi E</t>
  </si>
  <si>
    <t>Wahls, Kathryn</t>
  </si>
  <si>
    <t>Walker, Travis</t>
  </si>
  <si>
    <t>Wang, Congzhou</t>
  </si>
  <si>
    <t>Ward, Jason</t>
  </si>
  <si>
    <t>Ward, Kevin</t>
  </si>
  <si>
    <t>Waterman, David</t>
  </si>
  <si>
    <t>Wells, Alana</t>
  </si>
  <si>
    <t>Wells, Marshall</t>
  </si>
  <si>
    <t>West, Michael</t>
  </si>
  <si>
    <t>Westergaard, Karen</t>
  </si>
  <si>
    <t>Westphal, Cindy</t>
  </si>
  <si>
    <t>Senior Claims Clerk</t>
  </si>
  <si>
    <t>Whitehead, Matthew</t>
  </si>
  <si>
    <t>Wiley, Nathan</t>
  </si>
  <si>
    <t>Wilkinson, Josh</t>
  </si>
  <si>
    <t>Library Technician</t>
  </si>
  <si>
    <t>Winter, Robb</t>
  </si>
  <si>
    <t>Woldstad, Jeffrey</t>
  </si>
  <si>
    <t>Chair/Department Head</t>
  </si>
  <si>
    <t>Wood, Scott</t>
  </si>
  <si>
    <t>Worley, Deborah</t>
  </si>
  <si>
    <t>Wright, Joseph</t>
  </si>
  <si>
    <t>Xing, Weibing</t>
  </si>
  <si>
    <t>Zacher, Jessica</t>
  </si>
  <si>
    <t>Zens, Lois</t>
  </si>
  <si>
    <t>Zheng, Fan</t>
  </si>
  <si>
    <t>Zhu, Zhengtao</t>
  </si>
  <si>
    <t>Administrative Manager</t>
  </si>
  <si>
    <t>Junior Faculty</t>
  </si>
  <si>
    <t>Lab Technician, Senior Level</t>
  </si>
  <si>
    <t>Lab Support</t>
  </si>
  <si>
    <t>Lab Tech</t>
  </si>
  <si>
    <t>PhD Post Doc</t>
  </si>
  <si>
    <t>Research Scientist</t>
  </si>
  <si>
    <t>Research Scientist III</t>
  </si>
  <si>
    <t xml:space="preserve">Research Scientist I </t>
  </si>
  <si>
    <t>PhD Student</t>
  </si>
  <si>
    <t>Graduate Student</t>
  </si>
  <si>
    <t>Undergraduate Student</t>
  </si>
  <si>
    <t>SOUTH DAKOTA SCHOOL OF MINES &amp; TECHNOLOGY</t>
  </si>
  <si>
    <t>Office of Sponsored Programs</t>
  </si>
  <si>
    <t>Proposal Summary</t>
  </si>
  <si>
    <t>Federal        424 A Category</t>
  </si>
  <si>
    <t>Total Project Funds</t>
  </si>
  <si>
    <t>Match Funds</t>
  </si>
  <si>
    <t>Other Funds</t>
  </si>
  <si>
    <t>Total All Funds</t>
  </si>
  <si>
    <t>Personnel Costs</t>
  </si>
  <si>
    <t>Fringe Benefits</t>
  </si>
  <si>
    <t xml:space="preserve">Travel </t>
  </si>
  <si>
    <t>D.</t>
  </si>
  <si>
    <t>Equipment</t>
  </si>
  <si>
    <t>E.</t>
  </si>
  <si>
    <t>Supplies</t>
  </si>
  <si>
    <t>F.</t>
  </si>
  <si>
    <t>Contractual</t>
  </si>
  <si>
    <t>G.</t>
  </si>
  <si>
    <t>Construction</t>
  </si>
  <si>
    <t>H.</t>
  </si>
  <si>
    <t>Other</t>
  </si>
  <si>
    <t>I.</t>
  </si>
  <si>
    <t>Total Direct Charges</t>
  </si>
  <si>
    <t>J.</t>
  </si>
  <si>
    <t>Indirect Costs</t>
  </si>
  <si>
    <t xml:space="preserve">SDSM&amp;T Facility &amp; Administration Cost Base </t>
  </si>
  <si>
    <t>Total Direct Costs</t>
  </si>
  <si>
    <t>Less Exclusions*</t>
  </si>
  <si>
    <t>Net SDSM&amp;T Indirect Cost Base</t>
  </si>
  <si>
    <t>K.</t>
  </si>
  <si>
    <t>TOTAL ALL PROJECT COSTS (A - J)</t>
  </si>
  <si>
    <t>*</t>
  </si>
  <si>
    <t>Subcontract amounts above the $25,000 allowable base; Tuition Remission</t>
  </si>
  <si>
    <t>NSF</t>
  </si>
  <si>
    <t>DoE Research &amp; Related Budget (Grants.Gov)</t>
  </si>
  <si>
    <t>a</t>
  </si>
  <si>
    <t>Senior Personnel</t>
  </si>
  <si>
    <t>(Salary &amp; fringe)</t>
  </si>
  <si>
    <t>b</t>
  </si>
  <si>
    <t>Other Personnel</t>
  </si>
  <si>
    <t>Post Docs</t>
  </si>
  <si>
    <t>c</t>
  </si>
  <si>
    <t>Other Professionals</t>
  </si>
  <si>
    <t>d</t>
  </si>
  <si>
    <t>Travel</t>
  </si>
  <si>
    <t>Graduate Students</t>
  </si>
  <si>
    <t>Domestic Travel</t>
  </si>
  <si>
    <t>Undergrad Students</t>
  </si>
  <si>
    <t>International Travel</t>
  </si>
  <si>
    <t>Secreterial/Clerical</t>
  </si>
  <si>
    <t>e</t>
  </si>
  <si>
    <t>Participant/Trainee Support Costs</t>
  </si>
  <si>
    <t>Tuition/Fees/Health Ins</t>
  </si>
  <si>
    <t>Fringe</t>
  </si>
  <si>
    <t>Stipends</t>
  </si>
  <si>
    <t>Subsistence</t>
  </si>
  <si>
    <t>Domestic</t>
  </si>
  <si>
    <t>Foreign</t>
  </si>
  <si>
    <t>f</t>
  </si>
  <si>
    <t>Other Direct Costs</t>
  </si>
  <si>
    <t>Participant Support Costs</t>
  </si>
  <si>
    <t>Materials &amp; Supplies</t>
  </si>
  <si>
    <t>Publication</t>
  </si>
  <si>
    <t>Consultant Services</t>
  </si>
  <si>
    <t>ADP/Computer Services</t>
  </si>
  <si>
    <t>Subaward/Contractual Costs</t>
  </si>
  <si>
    <t>g</t>
  </si>
  <si>
    <t>Equipment or Facility/Rental/Fees</t>
  </si>
  <si>
    <t>Alterations &amp; Renovations</t>
  </si>
  <si>
    <t>Publication Costs/Documentation/distrib</t>
  </si>
  <si>
    <t>Total Direct Costs (a thru f)</t>
  </si>
  <si>
    <t>Computer (ADPE) Services  </t>
  </si>
  <si>
    <t>h</t>
  </si>
  <si>
    <t>Subcontracts</t>
  </si>
  <si>
    <t>i</t>
  </si>
  <si>
    <t>Total Direct + Indirect (G + H)</t>
  </si>
  <si>
    <t>J</t>
  </si>
  <si>
    <t>Fee</t>
  </si>
  <si>
    <t>k</t>
  </si>
  <si>
    <t>justification</t>
  </si>
  <si>
    <t>j</t>
  </si>
  <si>
    <t>Total Direct &amp; Indirect Costs</t>
  </si>
  <si>
    <t>Residual Funds</t>
  </si>
  <si>
    <t>l</t>
  </si>
  <si>
    <t>Amount of this request</t>
  </si>
  <si>
    <t>m</t>
  </si>
  <si>
    <t>cost share</t>
  </si>
  <si>
    <t>OFFICE OF SPONSORED PROGRAMS</t>
  </si>
  <si>
    <t>SDSM&amp;T BUDGET NARRATIVE</t>
  </si>
  <si>
    <t>PERSONNEL</t>
  </si>
  <si>
    <t>Listed below are the staff who will be contributing to the successful completion of this proposal. Following their name is their overall FTE in the proposal, and the value of their time that will be spent on the proposed activities. Please see proposal narrative for the complete description of the specific services that they will be providing.</t>
  </si>
  <si>
    <t>FRINGE BENEFITS</t>
  </si>
  <si>
    <t>Full-time</t>
  </si>
  <si>
    <t>Student</t>
  </si>
  <si>
    <t>FICA 1 Social Security</t>
  </si>
  <si>
    <t>FICA 2 Medicare</t>
  </si>
  <si>
    <t>Additional SDRS beyond FICA 1</t>
  </si>
  <si>
    <t>SDRS Retirement</t>
  </si>
  <si>
    <t>Worker’s Compensation</t>
  </si>
  <si>
    <t>$6,428</t>
  </si>
  <si>
    <t>Unemployment Insurance</t>
  </si>
  <si>
    <t>$17,833</t>
  </si>
  <si>
    <t>Health/Life Insurance</t>
  </si>
  <si>
    <t>$460.25 monthly or annually $5,523.00</t>
  </si>
  <si>
    <t>$26,847</t>
  </si>
  <si>
    <t>Average equates to approximately</t>
  </si>
  <si>
    <t>TRAVEL</t>
  </si>
  <si>
    <t>There will be one trip for a single staff member to visit Los Alamos; expenses calculated as follows:</t>
  </si>
  <si>
    <t>Estimated cost of Airfare from Rapid City to Los Alamos via connecting flight in Denver</t>
  </si>
  <si>
    <t>Estimated cost of additional expenses such as parking at airport; taxis, etc.</t>
  </si>
  <si>
    <t>EQUIPMENT</t>
  </si>
  <si>
    <t>No equipment will be purchased as part of this proposal.</t>
  </si>
  <si>
    <t>SUPPLIES</t>
  </si>
  <si>
    <t>3 Megastir tools @ $3000 each required as part of the friction stir welding process</t>
  </si>
  <si>
    <t>CONTRACTUAL</t>
  </si>
  <si>
    <t>Machine shop – machining of tensile samples, etc.</t>
  </si>
  <si>
    <t>CONSTRUCTION</t>
  </si>
  <si>
    <t>No construction will be performed as part of this proposal.</t>
  </si>
  <si>
    <t>OTHER DIRECT COSTS</t>
  </si>
  <si>
    <t>Other costs included in this proposal are tuition remission for the graduate student and equipment/rental fees for the Friction Stir Welder (FSW) and miscellaneous lab equipment  usage fees for preparation &amp; characterization of samples, etc.</t>
  </si>
  <si>
    <t>INDIRECT COSTS</t>
  </si>
  <si>
    <t>The total charge of $24,938 was achieved by calculating 37.5% of the modified direct cost base total of $66,502 which excluded the $8,560 for tuition remission from the total direct charges of $75,062.</t>
  </si>
  <si>
    <t>SDSM&amp;T PROPOSAL BUDGET</t>
  </si>
  <si>
    <t>Grant</t>
  </si>
  <si>
    <t>Match</t>
  </si>
  <si>
    <t>Total</t>
  </si>
  <si>
    <t>All (A + B)</t>
  </si>
  <si>
    <t>Grant Expenses</t>
  </si>
  <si>
    <t>SDSM&amp;T Match</t>
  </si>
  <si>
    <t>Exclusions</t>
  </si>
  <si>
    <t>FED 424 Categories A-K</t>
  </si>
  <si>
    <t>Annualized Base Salary</t>
  </si>
  <si>
    <t>% Effort</t>
  </si>
  <si>
    <t>Sumr</t>
  </si>
  <si>
    <t>Requested Salary/Fringe</t>
  </si>
  <si>
    <t>GRANT</t>
  </si>
  <si>
    <t>MATCH</t>
  </si>
  <si>
    <t>Salary</t>
  </si>
  <si>
    <t>SENIOR PERSONNEL</t>
  </si>
  <si>
    <t xml:space="preserve">Co-PI  ~ </t>
  </si>
  <si>
    <t>OTHER PERSONNEL</t>
  </si>
  <si>
    <t>A</t>
  </si>
  <si>
    <t>B</t>
  </si>
  <si>
    <t>1.</t>
  </si>
  <si>
    <t>Nights</t>
  </si>
  <si>
    <t># of travelers</t>
  </si>
  <si>
    <t># of trips</t>
  </si>
  <si>
    <t>Flight</t>
  </si>
  <si>
    <t>Lodging</t>
  </si>
  <si>
    <t>Per Diem</t>
  </si>
  <si>
    <t>Ground Travel -Gas, car rental fee</t>
  </si>
  <si>
    <t>Ground Travel</t>
  </si>
  <si>
    <t>2.</t>
  </si>
  <si>
    <t># of  trips</t>
  </si>
  <si>
    <t>PARTICIPANT/TRAINEE SUPPORT COSTS</t>
  </si>
  <si>
    <t>Tuition/Fees/Health Insurance</t>
  </si>
  <si>
    <t>3.</t>
  </si>
  <si>
    <t>4.</t>
  </si>
  <si>
    <t>5.</t>
  </si>
  <si>
    <t>Publications</t>
  </si>
  <si>
    <t xml:space="preserve">Publication </t>
  </si>
  <si>
    <t>Consultant Services/Contractual</t>
  </si>
  <si>
    <t>Fee for Service/Contractual</t>
  </si>
  <si>
    <t>Subawards</t>
  </si>
  <si>
    <t>6.</t>
  </si>
  <si>
    <t>Equipment/Facility Rental Fees</t>
  </si>
  <si>
    <t>7.</t>
  </si>
  <si>
    <t>Alterations/Renovations</t>
  </si>
  <si>
    <t>8.</t>
  </si>
  <si>
    <t>a.</t>
  </si>
  <si>
    <t>Tuition Remission</t>
  </si>
  <si>
    <t>Graduate Student Tuition Remission</t>
  </si>
  <si>
    <t>b.</t>
  </si>
  <si>
    <t>Conference Registration Fees</t>
  </si>
  <si>
    <t>TOTAL ALL DIRECT COSTS (A. ~ F.)</t>
  </si>
  <si>
    <t>SDSM&amp;T Facility &amp; Administration Cost Base Calculations</t>
  </si>
  <si>
    <t>TOTAL DIRECT + INDIRECT (G. + H.)</t>
  </si>
  <si>
    <t>SPECIFIED INDIRECT COST</t>
  </si>
  <si>
    <t>TOTAL REQUEST</t>
  </si>
  <si>
    <t>SPECIFIED INDIRECT COSTS</t>
  </si>
  <si>
    <t>DoE Research &amp; Related Budget</t>
  </si>
  <si>
    <t>None</t>
  </si>
  <si>
    <t>TOTAL PROJECT</t>
  </si>
  <si>
    <t>Year 1</t>
  </si>
  <si>
    <t>Year 2</t>
  </si>
  <si>
    <t>Year 3</t>
  </si>
  <si>
    <t>Year 4</t>
  </si>
  <si>
    <t>Year 5</t>
  </si>
  <si>
    <t xml:space="preserve">Total </t>
  </si>
  <si>
    <t>Subawards/Contractual</t>
  </si>
  <si>
    <t>Fall Semester</t>
  </si>
  <si>
    <t>Spring Semester</t>
  </si>
  <si>
    <t>Summer Semester</t>
  </si>
  <si>
    <t>SDSM&amp;T PROPOSAL BUDGET SUMMARY</t>
  </si>
  <si>
    <t>YEAR 1</t>
  </si>
  <si>
    <t>YEAR 2</t>
  </si>
  <si>
    <t>YEAR 3</t>
  </si>
  <si>
    <t>YEAR 4</t>
  </si>
  <si>
    <t>YEAR 5</t>
  </si>
  <si>
    <t>TOTAL</t>
  </si>
  <si>
    <t>Period One</t>
  </si>
  <si>
    <t>Banner Code</t>
  </si>
  <si>
    <t>619999</t>
  </si>
  <si>
    <t>Salaries and Wages</t>
  </si>
  <si>
    <t>620000</t>
  </si>
  <si>
    <t>700000</t>
  </si>
  <si>
    <t>Operating Expenses - Total Budget</t>
  </si>
  <si>
    <t>730000</t>
  </si>
  <si>
    <t>740000</t>
  </si>
  <si>
    <t>Contractual Services</t>
  </si>
  <si>
    <t>744620</t>
  </si>
  <si>
    <t>Sales Taxes</t>
  </si>
  <si>
    <t>750000</t>
  </si>
  <si>
    <t>Supplies and Materials</t>
  </si>
  <si>
    <t>760000</t>
  </si>
  <si>
    <t>Grants &amp; Subsidies</t>
  </si>
  <si>
    <t>766070</t>
  </si>
  <si>
    <t>766380</t>
  </si>
  <si>
    <t>770000</t>
  </si>
  <si>
    <t>Capital Assets</t>
  </si>
  <si>
    <t>780001</t>
  </si>
  <si>
    <t>Total All Categories</t>
  </si>
  <si>
    <t>Period Two</t>
  </si>
  <si>
    <t>Period Three</t>
  </si>
  <si>
    <t>Period Four</t>
  </si>
  <si>
    <t>Period Five</t>
  </si>
  <si>
    <t>CHK</t>
  </si>
  <si>
    <t>APPLICATION FOR                                                FEDERAL ASSISTANCE</t>
  </si>
  <si>
    <t>Version 7/03</t>
  </si>
  <si>
    <t>2. DATE SUBMITTED</t>
  </si>
  <si>
    <t>Applicant Identifier</t>
  </si>
  <si>
    <t>1. TYPE OF SUBMISSION:</t>
  </si>
  <si>
    <t>3. DATE RECEIVED BY STATE</t>
  </si>
  <si>
    <t>State Appliant Identifier</t>
  </si>
  <si>
    <t xml:space="preserve">    Application</t>
  </si>
  <si>
    <t>Preapplication</t>
  </si>
  <si>
    <t>4. DATE RECEIVED BY FEDRAL AGENCY</t>
  </si>
  <si>
    <t>Federal Identifier</t>
  </si>
  <si>
    <t>x</t>
  </si>
  <si>
    <t>Non-Construction</t>
  </si>
  <si>
    <t>5. APPLICANT INFORMATION</t>
  </si>
  <si>
    <t>Legal Name:</t>
  </si>
  <si>
    <t>Organization Unit:</t>
  </si>
  <si>
    <t>South Dakota School of Mines and Technology</t>
  </si>
  <si>
    <t>Department:</t>
  </si>
  <si>
    <t>Organization DUNS:</t>
  </si>
  <si>
    <t>929928018</t>
  </si>
  <si>
    <t>Address:</t>
  </si>
  <si>
    <r>
      <t xml:space="preserve">Name and telephone of person to be contacted on matters involving this appliation </t>
    </r>
    <r>
      <rPr>
        <i/>
        <sz val="7.5"/>
        <rFont val="Calibri"/>
        <family val="2"/>
      </rPr>
      <t>(give area code)</t>
    </r>
  </si>
  <si>
    <t>Street:</t>
  </si>
  <si>
    <t>501 East Saint Joseph Street</t>
  </si>
  <si>
    <t>Prefix:</t>
  </si>
  <si>
    <t>First Name:</t>
  </si>
  <si>
    <t>Dr.</t>
  </si>
  <si>
    <t>Carter</t>
  </si>
  <si>
    <t>City:</t>
  </si>
  <si>
    <t>Middle Name</t>
  </si>
  <si>
    <t xml:space="preserve">Rapid City </t>
  </si>
  <si>
    <t>County:</t>
  </si>
  <si>
    <t>Last Name:</t>
  </si>
  <si>
    <t>Pennington</t>
  </si>
  <si>
    <t>Kerk</t>
  </si>
  <si>
    <t>State:</t>
  </si>
  <si>
    <t>Zip Cod:</t>
  </si>
  <si>
    <t>Suffix:</t>
  </si>
  <si>
    <t>South Dakota</t>
  </si>
  <si>
    <t>57701-3995</t>
  </si>
  <si>
    <t>Country:</t>
  </si>
  <si>
    <t>E-mail:</t>
  </si>
  <si>
    <t>USA</t>
  </si>
  <si>
    <t>Carter.Kerk@sdsmt.edu</t>
  </si>
  <si>
    <r>
      <t>6. EMPLOYER IDENTIFICATION NUMBER</t>
    </r>
    <r>
      <rPr>
        <sz val="7"/>
        <rFont val="Calibri"/>
        <family val="2"/>
      </rPr>
      <t xml:space="preserve"> (</t>
    </r>
    <r>
      <rPr>
        <i/>
        <sz val="7"/>
        <rFont val="Calibri"/>
        <family val="2"/>
      </rPr>
      <t>EIN</t>
    </r>
    <r>
      <rPr>
        <sz val="7"/>
        <rFont val="Calibri"/>
        <family val="2"/>
      </rPr>
      <t>)</t>
    </r>
  </si>
  <si>
    <t>Phone Number (give area code)</t>
  </si>
  <si>
    <t>Fax Number (give area code)</t>
  </si>
  <si>
    <t>(605) 394 - 6067</t>
  </si>
  <si>
    <t>(605) 394 - 5360</t>
  </si>
  <si>
    <t>-</t>
  </si>
  <si>
    <t>8. TYPE OF APPLICATION:</t>
  </si>
  <si>
    <r>
      <t>7. TYPE OF APPLICANT:</t>
    </r>
    <r>
      <rPr>
        <sz val="7"/>
        <rFont val="Calibri"/>
        <family val="2"/>
      </rPr>
      <t xml:space="preserve"> (S</t>
    </r>
    <r>
      <rPr>
        <i/>
        <sz val="7"/>
        <rFont val="Calibri"/>
        <family val="2"/>
      </rPr>
      <t>ee back of form for Application Types)</t>
    </r>
  </si>
  <si>
    <t>X</t>
  </si>
  <si>
    <t>New</t>
  </si>
  <si>
    <t xml:space="preserve">  Continuation</t>
  </si>
  <si>
    <t>Revision</t>
  </si>
  <si>
    <t>I. State Controlled Institution of Higher Learning</t>
  </si>
  <si>
    <t>If Revision, enter appropriate letter(s) in box(es)</t>
  </si>
  <si>
    <t>See back of form for description of letters.)</t>
  </si>
  <si>
    <t>Other (specify)</t>
  </si>
  <si>
    <t>9. NAME OF FEDERAL AGENCY:</t>
  </si>
  <si>
    <t>Centers for Disease Control &amp; Prevention, DHHS</t>
  </si>
  <si>
    <t>10. CATALOG OF DOMESTIC ASSISTANCE NUMBER:</t>
  </si>
  <si>
    <t>11. DESCRIPTIVE TITLE OF APPLICANT'S PROJECT:</t>
  </si>
  <si>
    <t>TITLE (Name of Program)</t>
  </si>
  <si>
    <t>Occupational Safety and Health Program</t>
  </si>
  <si>
    <r>
      <t xml:space="preserve">12. AREAS AFFECTED BY PROJECT </t>
    </r>
    <r>
      <rPr>
        <i/>
        <sz val="7"/>
        <rFont val="Calibri"/>
        <family val="2"/>
      </rPr>
      <t>(Cities, Counties, States, etc.)</t>
    </r>
  </si>
  <si>
    <t>Statewide</t>
  </si>
  <si>
    <t>13. PROPROSED PROJECT</t>
  </si>
  <si>
    <t>14. CONGRESSIONAL DISTRICTS OF:</t>
  </si>
  <si>
    <t>Start Date:</t>
  </si>
  <si>
    <t>Ending Date:</t>
  </si>
  <si>
    <t>a. Applicant</t>
  </si>
  <si>
    <t>b. Project</t>
  </si>
  <si>
    <t>1</t>
  </si>
  <si>
    <t>15. ESTIMATED FUNDING:</t>
  </si>
  <si>
    <t>16. IS APPLICATION SUBJECT TO REVIEW BY STATE EXECUTIVE ORDER 12372 PROCESS?</t>
  </si>
  <si>
    <t>a. Federal</t>
  </si>
  <si>
    <t>a. YES.</t>
  </si>
  <si>
    <t>THIS PREAPPLICATION/APPLICATION WAS MADE AVAILABLE TO THE STATE EXECUTIVE ORDER 12372 PROCESS FOR REVIEW ON:</t>
  </si>
  <si>
    <t>b. Applicant</t>
  </si>
  <si>
    <t>c. State</t>
  </si>
  <si>
    <t xml:space="preserve">DATE    _ _ _ _ _ _ _ _ _ _ _ _ _ _ _ _ _ </t>
  </si>
  <si>
    <t>d. Local</t>
  </si>
  <si>
    <t>b. No.</t>
  </si>
  <si>
    <t>PROGRAM IS NOT COVERED BY E. O. 12372</t>
  </si>
  <si>
    <t>e. Other</t>
  </si>
  <si>
    <t>OR PROGRAM HAS NOT BEEN SELECTED BY STATE FOR REVIEW</t>
  </si>
  <si>
    <t>f. Program Income</t>
  </si>
  <si>
    <t>17. IS THIS APPLICANT DELINQUENT ON ANY FEDERAL DEBT?</t>
  </si>
  <si>
    <t>g. TOTAL</t>
  </si>
  <si>
    <t xml:space="preserve">   Yes       If "Yes," attach an explanation. </t>
  </si>
  <si>
    <t xml:space="preserve">  No</t>
  </si>
  <si>
    <t>18. TO THE BEST OF MY KNOWLEDGE AND BELIEF, ALL DATA IN THIS APPLICATION/PREAPPLICATION ARE TRUE AND CORRECT, THE DOCUMENT HAS BEEN AUTHORIZED BY THE GOVERNING BODY OF THE APPLICANT AND THE APPLICANT WILL COMPLY WITH THE ATTACHED ASSURANCES IS THE ASSISTA</t>
  </si>
  <si>
    <t>a. Type Name of Authorized Representative</t>
  </si>
  <si>
    <t>b. Title</t>
  </si>
  <si>
    <t>c. Telephone Number</t>
  </si>
  <si>
    <t>L. Eric James, II</t>
  </si>
  <si>
    <t>Associate Vice President for Research</t>
  </si>
  <si>
    <t>(605) 394-1205</t>
  </si>
  <si>
    <t>d. Signature of Authorized Representative</t>
  </si>
  <si>
    <t>e. Date Signed</t>
  </si>
  <si>
    <t>Previous Edition Usable</t>
  </si>
  <si>
    <t>Standard Form 424 (Rev. 9-20037)</t>
  </si>
  <si>
    <t>Authorized for Local Reproduction</t>
  </si>
  <si>
    <t>Prescribed by OMB Circular A-102</t>
  </si>
  <si>
    <t>SECTION A - BUDGET SUMMARY</t>
  </si>
  <si>
    <t>Grant Program Function                           or Activity                   (a)</t>
  </si>
  <si>
    <t>Catalog of Federal Domestic Assistance Number                              (b)</t>
  </si>
  <si>
    <t>Estimated Unobligated Funds</t>
  </si>
  <si>
    <t>New or Revised Budget</t>
  </si>
  <si>
    <t>Federal                      ( c )</t>
  </si>
  <si>
    <t>Non-Federal                     (d)</t>
  </si>
  <si>
    <t>Federal                       (e)</t>
  </si>
  <si>
    <t>Non-Federal                (f)</t>
  </si>
  <si>
    <t>Total                       (g)</t>
  </si>
  <si>
    <t xml:space="preserve">       Totals</t>
  </si>
  <si>
    <t>SECTION B - BUDGET CATEGORIES</t>
  </si>
  <si>
    <t>Object Class Categories</t>
  </si>
  <si>
    <t>GRANT PROGRAM, FUNCTION OR ACTIVITY</t>
  </si>
  <si>
    <t>Total                           (5)</t>
  </si>
  <si>
    <t xml:space="preserve">          a. Personnel</t>
  </si>
  <si>
    <t xml:space="preserve">          b. Fringe Benefits</t>
  </si>
  <si>
    <t xml:space="preserve">          c. Travel</t>
  </si>
  <si>
    <t xml:space="preserve">          d. Equipment</t>
  </si>
  <si>
    <t xml:space="preserve">          e. Supplies</t>
  </si>
  <si>
    <t xml:space="preserve">           f. Contractual </t>
  </si>
  <si>
    <t xml:space="preserve">          g. Construction</t>
  </si>
  <si>
    <t xml:space="preserve">          h. Other</t>
  </si>
  <si>
    <r>
      <t xml:space="preserve">           i. Total Direct Charges (</t>
    </r>
    <r>
      <rPr>
        <i/>
        <sz val="10"/>
        <rFont val="Calibri"/>
        <family val="2"/>
      </rPr>
      <t>sum of 6a-6h</t>
    </r>
    <r>
      <rPr>
        <sz val="10"/>
        <rFont val="Calibri"/>
        <family val="2"/>
      </rPr>
      <t>)</t>
    </r>
  </si>
  <si>
    <t xml:space="preserve">           j. Indirect Charges</t>
  </si>
  <si>
    <r>
      <t xml:space="preserve">          k. TOTALS (</t>
    </r>
    <r>
      <rPr>
        <i/>
        <sz val="10"/>
        <rFont val="Calibri"/>
        <family val="2"/>
      </rPr>
      <t>sum of 6i and 6j</t>
    </r>
    <r>
      <rPr>
        <sz val="10"/>
        <rFont val="Calibri"/>
        <family val="2"/>
      </rPr>
      <t>)</t>
    </r>
  </si>
  <si>
    <t>Program Income</t>
  </si>
  <si>
    <t>SECTION C - NON FEDERAL RESOURCES</t>
  </si>
  <si>
    <t>(a) Grant Program</t>
  </si>
  <si>
    <t>(b) Applicant</t>
  </si>
  <si>
    <t>( c ) State</t>
  </si>
  <si>
    <t>(d) Other Sources</t>
  </si>
  <si>
    <t>(e) TOTALS</t>
  </si>
  <si>
    <t>9.</t>
  </si>
  <si>
    <t>10.</t>
  </si>
  <si>
    <t>11.</t>
  </si>
  <si>
    <t>12.</t>
  </si>
  <si>
    <r>
      <t xml:space="preserve"> TOTAL (</t>
    </r>
    <r>
      <rPr>
        <i/>
        <sz val="10"/>
        <rFont val="Calibri"/>
        <family val="2"/>
      </rPr>
      <t>sum of lines 8-11</t>
    </r>
    <r>
      <rPr>
        <sz val="10"/>
        <rFont val="Calibri"/>
        <family val="2"/>
      </rPr>
      <t>)</t>
    </r>
  </si>
  <si>
    <t>SECTION D - FORECASTED CASH NEEDS</t>
  </si>
  <si>
    <t>13.</t>
  </si>
  <si>
    <t>Total for 1st Year</t>
  </si>
  <si>
    <t>1st Quarter</t>
  </si>
  <si>
    <t>2nd Quarter</t>
  </si>
  <si>
    <t>3rd Quarter</t>
  </si>
  <si>
    <t>4th Quarter</t>
  </si>
  <si>
    <t>14.</t>
  </si>
  <si>
    <t>Non-Federal</t>
  </si>
  <si>
    <t>15.</t>
  </si>
  <si>
    <r>
      <t>TOTAL (</t>
    </r>
    <r>
      <rPr>
        <i/>
        <sz val="10"/>
        <rFont val="Calibri"/>
        <family val="2"/>
      </rPr>
      <t>sum of lines 13 and 14</t>
    </r>
    <r>
      <rPr>
        <sz val="10"/>
        <rFont val="Calibri"/>
        <family val="2"/>
      </rPr>
      <t>)</t>
    </r>
  </si>
  <si>
    <t>SECTION E - BUDGET ESTIMATES OF FEDERAL FUNDS NEEDED FOR BALANCE OF THE PROJECT</t>
  </si>
  <si>
    <t>FUTURE FUNDING PERIODS (Years)</t>
  </si>
  <si>
    <t>(b) First</t>
  </si>
  <si>
    <t>(c) Second</t>
  </si>
  <si>
    <t>(d) Third</t>
  </si>
  <si>
    <t>(e) Fourth</t>
  </si>
  <si>
    <t>16.</t>
  </si>
  <si>
    <t>17.</t>
  </si>
  <si>
    <t>18.</t>
  </si>
  <si>
    <t>19.</t>
  </si>
  <si>
    <t>20.</t>
  </si>
  <si>
    <r>
      <t>TOTAL (</t>
    </r>
    <r>
      <rPr>
        <i/>
        <sz val="10"/>
        <rFont val="Calibri"/>
        <family val="2"/>
      </rPr>
      <t>sum of lines 16-19</t>
    </r>
    <r>
      <rPr>
        <sz val="10"/>
        <rFont val="Calibri"/>
        <family val="2"/>
      </rPr>
      <t>)</t>
    </r>
  </si>
  <si>
    <t>SECTION F - OTHER BUDGET INFORMATION</t>
  </si>
  <si>
    <t>21.</t>
  </si>
  <si>
    <t>23.</t>
  </si>
  <si>
    <t xml:space="preserve"> Remarks:</t>
  </si>
  <si>
    <t>BIO - Bioenergy Center</t>
  </si>
  <si>
    <t>BIO STNR - BioSystems Networks / Transitional Research</t>
  </si>
  <si>
    <t>CABS - Chemical, Biology &amp; Health</t>
  </si>
  <si>
    <t>CML - Computational Mechanics Lab</t>
  </si>
  <si>
    <t>CSE - Computer Science Engineering</t>
  </si>
  <si>
    <t>EE - Electrical Engineering</t>
  </si>
  <si>
    <t xml:space="preserve">MATH - Mathematics </t>
  </si>
  <si>
    <t>ORA - Office of Research Affairs</t>
  </si>
  <si>
    <t>SDSG - Space Grant Consortium</t>
  </si>
  <si>
    <t>SPACT - Center for Security Printing and Anti-Counterfeiting Technology</t>
  </si>
  <si>
    <t>SERC - Surface Engineering Research Center</t>
  </si>
  <si>
    <t>IIC - Ivanhoe International Center</t>
  </si>
  <si>
    <t>FAC - Facility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</si>
</sst>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quot;$&quot;#,##0"/>
    <numFmt numFmtId="166" formatCode="0.000"/>
    <numFmt numFmtId="167" formatCode="&quot;$&quot;#,##0.00"/>
    <numFmt numFmtId="168" formatCode="mmmm\ d\,\ yyyy"/>
    <numFmt numFmtId="169" formatCode="mm/dd/yy"/>
    <numFmt numFmtId="170" formatCode="0.0%"/>
    <numFmt numFmtId="171" formatCode="&quot;$&quot;#,##0.0"/>
    <numFmt numFmtId="172" formatCode="&quot;$&quot;#,##0.000"/>
    <numFmt numFmtId="173" formatCode="0.0"/>
    <numFmt numFmtId="174" formatCode="\$#,##0.00;\(\$#,##0.00\)"/>
  </numFmts>
  <fonts count="96" x14ac:knownFonts="1">
    <font>
      <sz val="10"/>
      <name val="Courier"/>
    </font>
    <font>
      <sz val="10"/>
      <name val="Arial"/>
      <family val="2"/>
    </font>
    <font>
      <sz val="10"/>
      <name val="Arial"/>
      <family val="2"/>
    </font>
    <font>
      <sz val="10"/>
      <name val="Arial"/>
      <family val="2"/>
    </font>
    <font>
      <u/>
      <sz val="10"/>
      <color indexed="12"/>
      <name val="Courier"/>
      <family val="3"/>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alifornian FB"/>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fornian FB"/>
      <family val="1"/>
    </font>
    <font>
      <b/>
      <sz val="18"/>
      <color indexed="18"/>
      <name val="Arial"/>
      <family val="2"/>
    </font>
    <font>
      <b/>
      <sz val="12"/>
      <color indexed="18"/>
      <name val="Arial"/>
      <family val="2"/>
    </font>
    <font>
      <sz val="8"/>
      <name val="Courier"/>
      <family val="3"/>
    </font>
    <font>
      <b/>
      <sz val="10"/>
      <name val="Californian FB"/>
      <family val="1"/>
    </font>
    <font>
      <sz val="10"/>
      <name val="Times New Roman"/>
      <family val="1"/>
    </font>
    <font>
      <b/>
      <sz val="4"/>
      <name val="Californian FB"/>
      <family val="1"/>
    </font>
    <font>
      <sz val="4"/>
      <name val="Courier"/>
      <family val="3"/>
    </font>
    <font>
      <b/>
      <sz val="4"/>
      <color indexed="9"/>
      <name val="Californian FB"/>
      <family val="1"/>
    </font>
    <font>
      <sz val="4"/>
      <color indexed="9"/>
      <name val="Californian FB"/>
      <family val="1"/>
    </font>
    <font>
      <sz val="4"/>
      <name val="Californian FB"/>
      <family val="1"/>
    </font>
    <font>
      <u val="double"/>
      <sz val="10"/>
      <name val="Californian FB"/>
      <family val="1"/>
    </font>
    <font>
      <sz val="4"/>
      <color indexed="9"/>
      <name val="Courier"/>
      <family val="3"/>
    </font>
    <font>
      <sz val="10"/>
      <name val="Courier"/>
      <family val="3"/>
    </font>
    <font>
      <b/>
      <sz val="10"/>
      <name val="Calibri"/>
      <family val="2"/>
      <scheme val="minor"/>
    </font>
    <font>
      <sz val="10"/>
      <name val="Calibri"/>
      <family val="2"/>
      <scheme val="minor"/>
    </font>
    <font>
      <sz val="10"/>
      <color indexed="9"/>
      <name val="Calibri"/>
      <family val="2"/>
      <scheme val="minor"/>
    </font>
    <font>
      <sz val="10"/>
      <color indexed="55"/>
      <name val="Calibri"/>
      <family val="2"/>
      <scheme val="minor"/>
    </font>
    <font>
      <sz val="8"/>
      <name val="Calibri"/>
      <family val="2"/>
      <scheme val="minor"/>
    </font>
    <font>
      <sz val="18"/>
      <name val="Calibri"/>
      <family val="2"/>
      <scheme val="minor"/>
    </font>
    <font>
      <b/>
      <sz val="10"/>
      <color indexed="55"/>
      <name val="Calibri"/>
      <family val="2"/>
      <scheme val="minor"/>
    </font>
    <font>
      <b/>
      <sz val="10"/>
      <color indexed="9"/>
      <name val="Calibri"/>
      <family val="2"/>
      <scheme val="minor"/>
    </font>
    <font>
      <b/>
      <u val="double"/>
      <sz val="10"/>
      <color indexed="55"/>
      <name val="Calibri"/>
      <family val="2"/>
      <scheme val="minor"/>
    </font>
    <font>
      <sz val="10"/>
      <color theme="1" tint="0.499984740745262"/>
      <name val="Calibri"/>
      <family val="2"/>
      <scheme val="minor"/>
    </font>
    <font>
      <b/>
      <u val="double"/>
      <sz val="10"/>
      <name val="Calibri"/>
      <family val="2"/>
      <scheme val="minor"/>
    </font>
    <font>
      <b/>
      <sz val="9"/>
      <color indexed="55"/>
      <name val="Calibri"/>
      <family val="2"/>
      <scheme val="minor"/>
    </font>
    <font>
      <sz val="10"/>
      <color indexed="22"/>
      <name val="Calibri"/>
      <family val="2"/>
      <scheme val="minor"/>
    </font>
    <font>
      <i/>
      <sz val="10"/>
      <color indexed="55"/>
      <name val="Calibri"/>
      <family val="2"/>
      <scheme val="minor"/>
    </font>
    <font>
      <b/>
      <u/>
      <sz val="10"/>
      <color indexed="55"/>
      <name val="Calibri"/>
      <family val="2"/>
      <scheme val="minor"/>
    </font>
    <font>
      <sz val="10"/>
      <color theme="1" tint="0.499984740745262"/>
      <name val="Calibri"/>
      <family val="2"/>
    </font>
    <font>
      <b/>
      <sz val="18"/>
      <color indexed="18"/>
      <name val="Calibri"/>
      <family val="2"/>
      <scheme val="minor"/>
    </font>
    <font>
      <b/>
      <sz val="12"/>
      <color indexed="18"/>
      <name val="Calibri"/>
      <family val="2"/>
      <scheme val="minor"/>
    </font>
    <font>
      <sz val="11"/>
      <name val="Calibri"/>
      <family val="2"/>
      <scheme val="minor"/>
    </font>
    <font>
      <b/>
      <sz val="12"/>
      <name val="Calibri"/>
      <family val="2"/>
      <scheme val="minor"/>
    </font>
    <font>
      <sz val="10"/>
      <color rgb="FFFFFFFF"/>
      <name val="Calibri"/>
      <family val="2"/>
      <scheme val="minor"/>
    </font>
    <font>
      <b/>
      <sz val="10"/>
      <name val="Calibri"/>
      <family val="2"/>
    </font>
    <font>
      <sz val="10"/>
      <name val="Calibri"/>
      <family val="2"/>
    </font>
    <font>
      <sz val="9"/>
      <name val="Calibri"/>
      <family val="2"/>
    </font>
    <font>
      <i/>
      <sz val="10"/>
      <name val="Calibri"/>
      <family val="2"/>
    </font>
    <font>
      <b/>
      <sz val="8"/>
      <name val="Calibri"/>
      <family val="2"/>
    </font>
    <font>
      <sz val="7"/>
      <name val="Calibri"/>
      <family val="2"/>
    </font>
    <font>
      <b/>
      <sz val="9"/>
      <name val="Calibri"/>
      <family val="2"/>
    </font>
    <font>
      <b/>
      <sz val="7"/>
      <name val="Calibri"/>
      <family val="2"/>
    </font>
    <font>
      <sz val="12"/>
      <name val="Calibri"/>
      <family val="2"/>
    </font>
    <font>
      <sz val="7.5"/>
      <name val="Calibri"/>
      <family val="2"/>
    </font>
    <font>
      <i/>
      <sz val="7.5"/>
      <name val="Calibri"/>
      <family val="2"/>
    </font>
    <font>
      <i/>
      <sz val="7"/>
      <name val="Calibri"/>
      <family val="2"/>
    </font>
    <font>
      <b/>
      <sz val="11"/>
      <name val="Calibri"/>
      <family val="2"/>
    </font>
    <font>
      <b/>
      <sz val="12"/>
      <name val="Calibri"/>
      <family val="2"/>
    </font>
    <font>
      <b/>
      <sz val="15"/>
      <color indexed="18"/>
      <name val="Calibri"/>
      <family val="2"/>
    </font>
    <font>
      <sz val="16"/>
      <color indexed="18"/>
      <name val="Calibri"/>
      <family val="2"/>
    </font>
    <font>
      <b/>
      <sz val="12"/>
      <color indexed="18"/>
      <name val="Calibri"/>
      <family val="2"/>
    </font>
    <font>
      <sz val="11"/>
      <name val="Calibri"/>
      <family val="2"/>
    </font>
    <font>
      <sz val="14"/>
      <name val="Calibri"/>
      <family val="2"/>
    </font>
    <font>
      <sz val="8"/>
      <name val="Calibri"/>
      <family val="2"/>
    </font>
    <font>
      <b/>
      <sz val="10"/>
      <color rgb="FFFFFFFF"/>
      <name val="Calibri"/>
      <family val="2"/>
      <scheme val="minor"/>
    </font>
    <font>
      <b/>
      <sz val="10"/>
      <color theme="3" tint="0.59999389629810485"/>
      <name val="Calibri"/>
      <family val="2"/>
      <scheme val="minor"/>
    </font>
    <font>
      <sz val="10"/>
      <color theme="3" tint="0.59999389629810485"/>
      <name val="Calibri"/>
      <family val="2"/>
      <scheme val="minor"/>
    </font>
    <font>
      <b/>
      <sz val="16"/>
      <name val="Calibri"/>
      <family val="2"/>
      <scheme val="minor"/>
    </font>
    <font>
      <sz val="10"/>
      <color theme="1"/>
      <name val="Calibri"/>
      <family val="2"/>
      <scheme val="minor"/>
    </font>
    <font>
      <sz val="10"/>
      <color theme="7" tint="-0.499984740745262"/>
      <name val="Calibri"/>
      <family val="2"/>
      <scheme val="minor"/>
    </font>
    <font>
      <b/>
      <sz val="10"/>
      <color theme="7" tint="-0.499984740745262"/>
      <name val="Calibri"/>
      <family val="2"/>
      <scheme val="minor"/>
    </font>
    <font>
      <sz val="10"/>
      <color theme="4" tint="-0.499984740745262"/>
      <name val="Calibri"/>
      <family val="2"/>
      <scheme val="minor"/>
    </font>
    <font>
      <b/>
      <sz val="10"/>
      <color theme="4" tint="-0.499984740745262"/>
      <name val="Calibri"/>
      <family val="2"/>
      <scheme val="minor"/>
    </font>
    <font>
      <sz val="10"/>
      <color indexed="8"/>
      <name val="Calibri"/>
      <family val="2"/>
      <scheme val="minor"/>
    </font>
    <font>
      <b/>
      <sz val="12"/>
      <color theme="1"/>
      <name val="Calibri"/>
      <family val="2"/>
      <scheme val="minor"/>
    </font>
    <font>
      <sz val="9"/>
      <name val="Calibri"/>
      <family val="2"/>
      <scheme val="minor"/>
    </font>
    <font>
      <sz val="16"/>
      <color rgb="FFFF0000"/>
      <name val="Calibri"/>
      <family val="2"/>
      <scheme val="minor"/>
    </font>
    <font>
      <sz val="14"/>
      <color rgb="FFFF0000"/>
      <name val="Calibri"/>
      <family val="2"/>
      <scheme val="minor"/>
    </font>
    <font>
      <sz val="10"/>
      <name val="Courier"/>
      <family val="3"/>
    </font>
    <font>
      <sz val="10"/>
      <name val="Courier"/>
    </font>
    <font>
      <b/>
      <sz val="16"/>
      <color theme="1"/>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8"/>
        <bgColor indexed="64"/>
      </patternFill>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theme="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indexed="13"/>
        <bgColor indexed="64"/>
      </patternFill>
    </fill>
    <fill>
      <patternFill patternType="solid">
        <fgColor theme="0"/>
        <bgColor indexed="64"/>
      </patternFill>
    </fill>
    <fill>
      <patternFill patternType="solid">
        <fgColor theme="4" tint="0.59999389629810485"/>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double">
        <color indexed="55"/>
      </bottom>
      <diagonal/>
    </border>
    <border>
      <left/>
      <right/>
      <top/>
      <bottom style="thin">
        <color theme="1" tint="0.499984740745262"/>
      </bottom>
      <diagonal/>
    </border>
    <border>
      <left/>
      <right/>
      <top style="thin">
        <color theme="1" tint="0.49998474074526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4" fontId="2"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4"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 fillId="0" borderId="0"/>
    <xf numFmtId="0" fontId="1" fillId="0" borderId="0"/>
    <xf numFmtId="0" fontId="19"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7" fillId="0" borderId="0"/>
    <xf numFmtId="0" fontId="1" fillId="0" borderId="0"/>
    <xf numFmtId="0" fontId="1" fillId="0" borderId="0"/>
    <xf numFmtId="0" fontId="1" fillId="0" borderId="0"/>
    <xf numFmtId="9" fontId="93" fillId="0" borderId="0" applyFont="0" applyFill="0" applyBorder="0" applyAlignment="0" applyProtection="0"/>
    <xf numFmtId="0" fontId="94" fillId="0" borderId="0"/>
    <xf numFmtId="43" fontId="37" fillId="0" borderId="0" applyFont="0" applyFill="0" applyBorder="0" applyAlignment="0" applyProtection="0"/>
  </cellStyleXfs>
  <cellXfs count="989">
    <xf numFmtId="0" fontId="0" fillId="0" borderId="0" xfId="0"/>
    <xf numFmtId="0" fontId="3" fillId="0" borderId="0" xfId="0" applyFont="1"/>
    <xf numFmtId="165" fontId="0" fillId="0" borderId="0" xfId="0" applyNumberFormat="1"/>
    <xf numFmtId="0" fontId="3" fillId="25" borderId="0" xfId="0" applyFont="1" applyFill="1"/>
    <xf numFmtId="0" fontId="28" fillId="0" borderId="0" xfId="0" applyFont="1"/>
    <xf numFmtId="0" fontId="24" fillId="0" borderId="0" xfId="0" applyFont="1"/>
    <xf numFmtId="0" fontId="29" fillId="0" borderId="0" xfId="0" applyFont="1"/>
    <xf numFmtId="10" fontId="29" fillId="0" borderId="0" xfId="0" applyNumberFormat="1"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9" fontId="29" fillId="0" borderId="0" xfId="0" applyNumberFormat="1" applyFont="1"/>
    <xf numFmtId="0" fontId="35" fillId="0" borderId="0" xfId="0" applyFont="1" applyAlignment="1">
      <alignment horizontal="center"/>
    </xf>
    <xf numFmtId="0" fontId="36" fillId="0" borderId="0" xfId="0" applyFont="1"/>
    <xf numFmtId="165" fontId="24" fillId="0" borderId="0" xfId="0" applyNumberFormat="1" applyFont="1"/>
    <xf numFmtId="165" fontId="29" fillId="0" borderId="0" xfId="0" applyNumberFormat="1" applyFont="1"/>
    <xf numFmtId="0" fontId="41" fillId="0" borderId="0" xfId="46" applyFont="1" applyAlignment="1">
      <alignment horizontal="left"/>
    </xf>
    <xf numFmtId="0" fontId="41" fillId="0" borderId="0" xfId="49" applyFont="1"/>
    <xf numFmtId="0" fontId="39" fillId="28" borderId="0" xfId="49" applyFont="1" applyFill="1"/>
    <xf numFmtId="0" fontId="39" fillId="0" borderId="0" xfId="49" applyFont="1"/>
    <xf numFmtId="0" fontId="42" fillId="0" borderId="0" xfId="49" applyFont="1" applyAlignment="1">
      <alignment vertical="top"/>
    </xf>
    <xf numFmtId="0" fontId="38" fillId="0" borderId="0" xfId="49" applyFont="1"/>
    <xf numFmtId="0" fontId="41" fillId="0" borderId="0" xfId="49" applyFont="1" applyAlignment="1">
      <alignment horizontal="right"/>
    </xf>
    <xf numFmtId="0" fontId="41" fillId="0" borderId="0" xfId="49" applyFont="1" applyAlignment="1">
      <alignment horizontal="center"/>
    </xf>
    <xf numFmtId="0" fontId="44" fillId="0" borderId="0" xfId="49" applyFont="1"/>
    <xf numFmtId="10" fontId="44" fillId="0" borderId="0" xfId="49" applyNumberFormat="1" applyFont="1"/>
    <xf numFmtId="0" fontId="44" fillId="0" borderId="0" xfId="49" applyFont="1" applyAlignment="1">
      <alignment horizontal="right"/>
    </xf>
    <xf numFmtId="0" fontId="41" fillId="0" borderId="36" xfId="49" applyFont="1" applyBorder="1"/>
    <xf numFmtId="0" fontId="46" fillId="0" borderId="0" xfId="49" applyFont="1"/>
    <xf numFmtId="0" fontId="47" fillId="0" borderId="37" xfId="0" applyFont="1" applyBorder="1"/>
    <xf numFmtId="0" fontId="47" fillId="0" borderId="37" xfId="49" applyFont="1" applyBorder="1"/>
    <xf numFmtId="0" fontId="47" fillId="0" borderId="0" xfId="49" applyFont="1"/>
    <xf numFmtId="0" fontId="39" fillId="0" borderId="0" xfId="49" applyFont="1" applyAlignment="1">
      <alignment horizontal="center"/>
    </xf>
    <xf numFmtId="0" fontId="47" fillId="0" borderId="0" xfId="0" applyFont="1"/>
    <xf numFmtId="0" fontId="48" fillId="0" borderId="0" xfId="49" applyFont="1"/>
    <xf numFmtId="0" fontId="47" fillId="0" borderId="0" xfId="49" applyFont="1" applyAlignment="1">
      <alignment horizontal="right"/>
    </xf>
    <xf numFmtId="0" fontId="50" fillId="0" borderId="0" xfId="49" applyFont="1"/>
    <xf numFmtId="165" fontId="41" fillId="0" borderId="0" xfId="49" applyNumberFormat="1" applyFont="1"/>
    <xf numFmtId="171" fontId="41" fillId="0" borderId="0" xfId="49" applyNumberFormat="1" applyFont="1"/>
    <xf numFmtId="0" fontId="39" fillId="0" borderId="0" xfId="49" applyFont="1" applyAlignment="1">
      <alignment horizontal="right"/>
    </xf>
    <xf numFmtId="170" fontId="39" fillId="0" borderId="0" xfId="49" applyNumberFormat="1" applyFont="1" applyAlignment="1">
      <alignment horizontal="center"/>
    </xf>
    <xf numFmtId="0" fontId="44" fillId="24" borderId="28" xfId="49" applyFont="1" applyFill="1" applyBorder="1" applyAlignment="1">
      <alignment horizontal="center"/>
    </xf>
    <xf numFmtId="0" fontId="44" fillId="0" borderId="0" xfId="49" applyFont="1" applyAlignment="1">
      <alignment horizontal="center"/>
    </xf>
    <xf numFmtId="0" fontId="44" fillId="0" borderId="0" xfId="49" applyFont="1" applyAlignment="1">
      <alignment horizontal="left"/>
    </xf>
    <xf numFmtId="168" fontId="41" fillId="0" borderId="0" xfId="49" applyNumberFormat="1" applyFont="1" applyAlignment="1">
      <alignment horizontal="center"/>
    </xf>
    <xf numFmtId="0" fontId="41" fillId="0" borderId="0" xfId="49" applyFont="1" applyAlignment="1">
      <alignment horizontal="left"/>
    </xf>
    <xf numFmtId="0" fontId="41" fillId="0" borderId="12" xfId="49" applyFont="1" applyBorder="1" applyAlignment="1">
      <alignment horizontal="right"/>
    </xf>
    <xf numFmtId="0" fontId="38" fillId="28" borderId="0" xfId="49" applyFont="1" applyFill="1" applyAlignment="1">
      <alignment horizontal="center"/>
    </xf>
    <xf numFmtId="0" fontId="38" fillId="0" borderId="0" xfId="49" applyFont="1" applyAlignment="1">
      <alignment horizontal="center"/>
    </xf>
    <xf numFmtId="169" fontId="51" fillId="0" borderId="0" xfId="49" applyNumberFormat="1" applyFont="1" applyAlignment="1">
      <alignment horizontal="right" vertical="center"/>
    </xf>
    <xf numFmtId="0" fontId="41" fillId="0" borderId="32" xfId="49" applyFont="1" applyBorder="1"/>
    <xf numFmtId="0" fontId="41" fillId="0" borderId="0" xfId="49" applyFont="1" applyAlignment="1">
      <alignment horizontal="center" vertical="center" wrapText="1"/>
    </xf>
    <xf numFmtId="0" fontId="41" fillId="0" borderId="33" xfId="49" applyFont="1" applyBorder="1"/>
    <xf numFmtId="0" fontId="41" fillId="0" borderId="33" xfId="49" applyFont="1" applyBorder="1" applyAlignment="1">
      <alignment horizontal="center"/>
    </xf>
    <xf numFmtId="0" fontId="51" fillId="0" borderId="0" xfId="49" applyFont="1" applyAlignment="1">
      <alignment horizontal="center"/>
    </xf>
    <xf numFmtId="0" fontId="41" fillId="0" borderId="32" xfId="49" applyFont="1" applyBorder="1" applyAlignment="1">
      <alignment horizontal="right"/>
    </xf>
    <xf numFmtId="0" fontId="41" fillId="0" borderId="32" xfId="49" applyFont="1" applyBorder="1" applyAlignment="1">
      <alignment horizontal="center"/>
    </xf>
    <xf numFmtId="0" fontId="41" fillId="0" borderId="34" xfId="49" applyFont="1" applyBorder="1"/>
    <xf numFmtId="0" fontId="41" fillId="0" borderId="27" xfId="49" applyFont="1" applyBorder="1"/>
    <xf numFmtId="0" fontId="41" fillId="0" borderId="35" xfId="49" applyFont="1" applyBorder="1"/>
    <xf numFmtId="169" fontId="41" fillId="0" borderId="32" xfId="49" applyNumberFormat="1" applyFont="1" applyBorder="1" applyAlignment="1">
      <alignment horizontal="center"/>
    </xf>
    <xf numFmtId="14" fontId="41" fillId="0" borderId="0" xfId="49" applyNumberFormat="1" applyFont="1"/>
    <xf numFmtId="0" fontId="52" fillId="0" borderId="0" xfId="49" applyFont="1"/>
    <xf numFmtId="170" fontId="41" fillId="0" borderId="0" xfId="49" applyNumberFormat="1" applyFont="1" applyAlignment="1">
      <alignment horizontal="left"/>
    </xf>
    <xf numFmtId="0" fontId="39" fillId="28" borderId="0" xfId="49" applyFont="1" applyFill="1" applyAlignment="1">
      <alignment horizontal="center"/>
    </xf>
    <xf numFmtId="170" fontId="44" fillId="0" borderId="0" xfId="49" applyNumberFormat="1" applyFont="1" applyAlignment="1">
      <alignment horizontal="center"/>
    </xf>
    <xf numFmtId="9" fontId="47" fillId="0" borderId="0" xfId="0" applyNumberFormat="1" applyFont="1" applyAlignment="1">
      <alignment horizontal="center" vertical="center"/>
    </xf>
    <xf numFmtId="10" fontId="47" fillId="0" borderId="0" xfId="0" applyNumberFormat="1" applyFont="1" applyAlignment="1">
      <alignment horizontal="center" vertical="center"/>
    </xf>
    <xf numFmtId="0" fontId="47" fillId="0" borderId="0" xfId="46" applyFont="1" applyAlignment="1">
      <alignment horizontal="center" vertical="center"/>
    </xf>
    <xf numFmtId="0" fontId="47" fillId="0" borderId="0" xfId="49" applyFont="1" applyAlignment="1">
      <alignment horizontal="left"/>
    </xf>
    <xf numFmtId="0" fontId="53" fillId="0" borderId="37" xfId="46" applyFont="1" applyBorder="1" applyAlignment="1">
      <alignment horizontal="left"/>
    </xf>
    <xf numFmtId="0" fontId="53" fillId="0" borderId="0" xfId="46" applyFont="1" applyAlignment="1">
      <alignment horizontal="right"/>
    </xf>
    <xf numFmtId="0" fontId="53" fillId="0" borderId="0" xfId="46" applyFont="1"/>
    <xf numFmtId="1" fontId="53" fillId="0" borderId="0" xfId="46" applyNumberFormat="1" applyFont="1" applyAlignment="1">
      <alignment horizontal="left"/>
    </xf>
    <xf numFmtId="0" fontId="53" fillId="0" borderId="37" xfId="46" applyFont="1" applyBorder="1" applyAlignment="1">
      <alignment horizontal="right"/>
    </xf>
    <xf numFmtId="0" fontId="53" fillId="0" borderId="37" xfId="46" applyFont="1" applyBorder="1"/>
    <xf numFmtId="169" fontId="41" fillId="0" borderId="0" xfId="49" applyNumberFormat="1" applyFont="1" applyAlignment="1">
      <alignment horizontal="right" vertical="center"/>
    </xf>
    <xf numFmtId="0" fontId="47" fillId="0" borderId="0" xfId="49" applyFont="1" applyAlignment="1">
      <alignment horizontal="center"/>
    </xf>
    <xf numFmtId="0" fontId="46" fillId="0" borderId="0" xfId="49" applyFont="1" applyAlignment="1">
      <alignment horizontal="center"/>
    </xf>
    <xf numFmtId="169" fontId="41" fillId="0" borderId="0" xfId="49" applyNumberFormat="1" applyFont="1" applyAlignment="1">
      <alignment horizontal="right"/>
    </xf>
    <xf numFmtId="14" fontId="39" fillId="0" borderId="0" xfId="49" applyNumberFormat="1" applyFont="1" applyAlignment="1">
      <alignment horizontal="center"/>
    </xf>
    <xf numFmtId="2" fontId="41" fillId="0" borderId="0" xfId="49" applyNumberFormat="1" applyFont="1"/>
    <xf numFmtId="10" fontId="44" fillId="0" borderId="0" xfId="49" applyNumberFormat="1" applyFont="1" applyAlignment="1">
      <alignment horizontal="center"/>
    </xf>
    <xf numFmtId="0" fontId="45" fillId="0" borderId="0" xfId="49" applyFont="1" applyAlignment="1">
      <alignment horizontal="center" vertical="center" wrapText="1"/>
    </xf>
    <xf numFmtId="9" fontId="44" fillId="0" borderId="0" xfId="49" applyNumberFormat="1" applyFont="1" applyAlignment="1">
      <alignment horizontal="center" vertical="center" wrapText="1"/>
    </xf>
    <xf numFmtId="0" fontId="47" fillId="0" borderId="0" xfId="0" applyFont="1" applyAlignment="1">
      <alignment horizontal="right"/>
    </xf>
    <xf numFmtId="0" fontId="47" fillId="0" borderId="0" xfId="46" applyFont="1" applyAlignment="1">
      <alignment horizontal="right"/>
    </xf>
    <xf numFmtId="0" fontId="49" fillId="0" borderId="0" xfId="49" applyFont="1"/>
    <xf numFmtId="165" fontId="44" fillId="0" borderId="0" xfId="49" applyNumberFormat="1" applyFont="1" applyAlignment="1">
      <alignment horizontal="center"/>
    </xf>
    <xf numFmtId="1" fontId="41" fillId="0" borderId="0" xfId="49" applyNumberFormat="1" applyFont="1" applyAlignment="1">
      <alignment horizontal="left"/>
    </xf>
    <xf numFmtId="167" fontId="44" fillId="0" borderId="0" xfId="49" applyNumberFormat="1" applyFont="1" applyAlignment="1">
      <alignment horizontal="center"/>
    </xf>
    <xf numFmtId="14" fontId="44" fillId="0" borderId="0" xfId="49" applyNumberFormat="1" applyFont="1" applyAlignment="1">
      <alignment horizontal="center"/>
    </xf>
    <xf numFmtId="168" fontId="44" fillId="0" borderId="0" xfId="49" applyNumberFormat="1" applyFont="1" applyAlignment="1">
      <alignment horizontal="center"/>
    </xf>
    <xf numFmtId="0" fontId="44" fillId="0" borderId="0" xfId="49" applyFont="1" applyAlignment="1">
      <alignment horizontal="center" vertical="center"/>
    </xf>
    <xf numFmtId="169" fontId="41" fillId="0" borderId="0" xfId="49" applyNumberFormat="1" applyFont="1" applyAlignment="1">
      <alignment horizontal="center"/>
    </xf>
    <xf numFmtId="14" fontId="47" fillId="0" borderId="0" xfId="49" applyNumberFormat="1" applyFont="1" applyAlignment="1">
      <alignment horizontal="center"/>
    </xf>
    <xf numFmtId="0" fontId="53" fillId="0" borderId="0" xfId="46" applyFont="1" applyAlignment="1">
      <alignment horizontal="left"/>
    </xf>
    <xf numFmtId="0" fontId="53" fillId="0" borderId="0" xfId="46" applyFont="1" applyAlignment="1">
      <alignment horizontal="center"/>
    </xf>
    <xf numFmtId="0" fontId="47" fillId="0" borderId="0" xfId="49" applyFont="1" applyAlignment="1">
      <alignment horizontal="center" vertical="center"/>
    </xf>
    <xf numFmtId="1" fontId="53" fillId="0" borderId="0" xfId="46" applyNumberFormat="1" applyFont="1" applyAlignment="1">
      <alignment horizontal="center"/>
    </xf>
    <xf numFmtId="1" fontId="53" fillId="0" borderId="0" xfId="46" applyNumberFormat="1" applyFont="1" applyAlignment="1">
      <alignment horizontal="center" vertical="center"/>
    </xf>
    <xf numFmtId="2" fontId="53" fillId="0" borderId="0" xfId="46" applyNumberFormat="1" applyFont="1" applyAlignment="1">
      <alignment horizontal="center" vertical="center"/>
    </xf>
    <xf numFmtId="1" fontId="47" fillId="0" borderId="0" xfId="49" applyNumberFormat="1" applyFont="1" applyAlignment="1">
      <alignment horizontal="center"/>
    </xf>
    <xf numFmtId="0" fontId="39" fillId="34" borderId="0" xfId="49" applyFont="1" applyFill="1"/>
    <xf numFmtId="0" fontId="39" fillId="0" borderId="0" xfId="0" applyFont="1"/>
    <xf numFmtId="165" fontId="39" fillId="0" borderId="0" xfId="0" applyNumberFormat="1" applyFont="1"/>
    <xf numFmtId="165" fontId="38" fillId="0" borderId="0" xfId="0" applyNumberFormat="1" applyFont="1"/>
    <xf numFmtId="0" fontId="38" fillId="0" borderId="0" xfId="0" applyFont="1"/>
    <xf numFmtId="0" fontId="39" fillId="25" borderId="0" xfId="0" applyFont="1" applyFill="1"/>
    <xf numFmtId="0" fontId="39" fillId="25" borderId="0" xfId="0" applyFont="1" applyFill="1" applyAlignment="1">
      <alignment horizontal="center"/>
    </xf>
    <xf numFmtId="0" fontId="39" fillId="0" borderId="0" xfId="0" applyFont="1" applyAlignment="1">
      <alignment horizontal="centerContinuous"/>
    </xf>
    <xf numFmtId="165" fontId="38" fillId="0" borderId="0" xfId="0" applyNumberFormat="1" applyFont="1" applyAlignment="1">
      <alignment horizontal="center"/>
    </xf>
    <xf numFmtId="0" fontId="39" fillId="0" borderId="0" xfId="0" applyFont="1" applyAlignment="1">
      <alignment horizontal="center" vertical="center" wrapText="1"/>
    </xf>
    <xf numFmtId="0" fontId="39" fillId="0" borderId="0" xfId="0" applyFont="1" applyAlignment="1">
      <alignment horizontal="left"/>
    </xf>
    <xf numFmtId="165" fontId="39" fillId="0" borderId="0" xfId="0" applyNumberFormat="1" applyFont="1" applyAlignment="1">
      <alignment horizontal="left"/>
    </xf>
    <xf numFmtId="0" fontId="39" fillId="0" borderId="0" xfId="0" applyFont="1" applyAlignment="1">
      <alignment horizontal="center"/>
    </xf>
    <xf numFmtId="0" fontId="38" fillId="0" borderId="0" xfId="0" quotePrefix="1" applyFont="1"/>
    <xf numFmtId="0" fontId="40" fillId="0" borderId="0" xfId="0" applyFont="1"/>
    <xf numFmtId="5" fontId="39" fillId="0" borderId="0" xfId="0" applyNumberFormat="1" applyFont="1"/>
    <xf numFmtId="164" fontId="39" fillId="0" borderId="0" xfId="0" applyNumberFormat="1" applyFont="1"/>
    <xf numFmtId="164" fontId="39" fillId="0" borderId="0" xfId="0" applyNumberFormat="1" applyFont="1" applyAlignment="1">
      <alignment horizontal="right"/>
    </xf>
    <xf numFmtId="166" fontId="39" fillId="0" borderId="0" xfId="0" applyNumberFormat="1" applyFont="1"/>
    <xf numFmtId="166" fontId="39" fillId="0" borderId="0" xfId="0" applyNumberFormat="1" applyFont="1" applyAlignment="1">
      <alignment horizontal="right"/>
    </xf>
    <xf numFmtId="0" fontId="39" fillId="0" borderId="0" xfId="0" applyFont="1" applyAlignment="1">
      <alignment horizontal="right"/>
    </xf>
    <xf numFmtId="0" fontId="38" fillId="26" borderId="0" xfId="0" applyFont="1" applyFill="1"/>
    <xf numFmtId="0" fontId="38" fillId="0" borderId="0" xfId="0" applyFont="1" applyAlignment="1">
      <alignment horizontal="left"/>
    </xf>
    <xf numFmtId="165" fontId="38" fillId="26" borderId="0" xfId="0" applyNumberFormat="1" applyFont="1" applyFill="1"/>
    <xf numFmtId="165" fontId="40" fillId="0" borderId="0" xfId="0" applyNumberFormat="1" applyFont="1" applyAlignment="1">
      <alignment horizontal="center"/>
    </xf>
    <xf numFmtId="165" fontId="40" fillId="0" borderId="0" xfId="0" applyNumberFormat="1" applyFont="1"/>
    <xf numFmtId="0" fontId="38" fillId="0" borderId="0" xfId="0" quotePrefix="1" applyFont="1" applyAlignment="1">
      <alignment horizontal="right"/>
    </xf>
    <xf numFmtId="0" fontId="39" fillId="0" borderId="10" xfId="0" applyFont="1" applyBorder="1" applyAlignment="1">
      <alignment horizontal="left"/>
    </xf>
    <xf numFmtId="165" fontId="39" fillId="0" borderId="10" xfId="0" applyNumberFormat="1" applyFont="1" applyBorder="1" applyAlignment="1">
      <alignment horizontal="left"/>
    </xf>
    <xf numFmtId="0" fontId="39" fillId="0" borderId="10" xfId="0" applyFont="1" applyBorder="1"/>
    <xf numFmtId="0" fontId="39" fillId="0" borderId="10" xfId="0" applyFont="1" applyBorder="1" applyAlignment="1">
      <alignment horizontal="right"/>
    </xf>
    <xf numFmtId="0" fontId="38" fillId="0" borderId="10" xfId="0" applyFont="1" applyBorder="1"/>
    <xf numFmtId="165" fontId="38" fillId="0" borderId="10" xfId="0" applyNumberFormat="1" applyFont="1" applyBorder="1" applyAlignment="1">
      <alignment horizontal="center"/>
    </xf>
    <xf numFmtId="0" fontId="39" fillId="0" borderId="0" xfId="40" applyFont="1"/>
    <xf numFmtId="0" fontId="56" fillId="0" borderId="0" xfId="0" applyFont="1" applyAlignment="1">
      <alignment horizontal="left"/>
    </xf>
    <xf numFmtId="165" fontId="56" fillId="0" borderId="0" xfId="0" applyNumberFormat="1" applyFont="1" applyAlignment="1">
      <alignment horizontal="left"/>
    </xf>
    <xf numFmtId="165" fontId="39" fillId="0" borderId="10" xfId="0" applyNumberFormat="1" applyFont="1" applyBorder="1"/>
    <xf numFmtId="0" fontId="40" fillId="0" borderId="0" xfId="40" applyFont="1"/>
    <xf numFmtId="165" fontId="39" fillId="0" borderId="0" xfId="40" applyNumberFormat="1" applyFont="1"/>
    <xf numFmtId="0" fontId="56" fillId="0" borderId="10" xfId="0" applyFont="1" applyBorder="1" applyAlignment="1">
      <alignment horizontal="left"/>
    </xf>
    <xf numFmtId="165" fontId="56" fillId="0" borderId="10" xfId="0" applyNumberFormat="1" applyFont="1" applyBorder="1" applyAlignment="1">
      <alignment horizontal="left"/>
    </xf>
    <xf numFmtId="164" fontId="40" fillId="0" borderId="0" xfId="0" applyNumberFormat="1" applyFont="1"/>
    <xf numFmtId="165" fontId="39"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vertical="center" wrapText="1"/>
    </xf>
    <xf numFmtId="164" fontId="38" fillId="0" borderId="0" xfId="0" applyNumberFormat="1" applyFont="1"/>
    <xf numFmtId="9" fontId="38" fillId="0" borderId="0" xfId="0" applyNumberFormat="1" applyFont="1" applyAlignment="1">
      <alignment horizontal="center" vertical="center"/>
    </xf>
    <xf numFmtId="164" fontId="38" fillId="0" borderId="0" xfId="0" applyNumberFormat="1" applyFont="1" applyAlignment="1">
      <alignment horizontal="right"/>
    </xf>
    <xf numFmtId="0" fontId="38" fillId="0" borderId="0" xfId="0" applyFont="1" applyAlignment="1">
      <alignment horizontal="center"/>
    </xf>
    <xf numFmtId="166" fontId="38" fillId="0" borderId="0" xfId="0" applyNumberFormat="1" applyFont="1"/>
    <xf numFmtId="0" fontId="39" fillId="0" borderId="11" xfId="0" applyFont="1" applyBorder="1"/>
    <xf numFmtId="2" fontId="38" fillId="0" borderId="0" xfId="0" applyNumberFormat="1" applyFont="1" applyAlignment="1">
      <alignment horizontal="center"/>
    </xf>
    <xf numFmtId="165" fontId="39" fillId="0" borderId="0" xfId="0" applyNumberFormat="1" applyFont="1" applyAlignment="1">
      <alignment horizontal="center"/>
    </xf>
    <xf numFmtId="0" fontId="38" fillId="35" borderId="0" xfId="0" applyFont="1" applyFill="1"/>
    <xf numFmtId="0" fontId="39" fillId="35" borderId="0" xfId="0" applyFont="1" applyFill="1"/>
    <xf numFmtId="0" fontId="38" fillId="35" borderId="0" xfId="0" applyFont="1" applyFill="1" applyAlignment="1">
      <alignment horizontal="left"/>
    </xf>
    <xf numFmtId="165" fontId="38" fillId="35" borderId="0" xfId="0" applyNumberFormat="1" applyFont="1" applyFill="1" applyAlignment="1">
      <alignment horizontal="left"/>
    </xf>
    <xf numFmtId="164" fontId="38" fillId="35" borderId="0" xfId="0" applyNumberFormat="1" applyFont="1" applyFill="1"/>
    <xf numFmtId="9" fontId="38" fillId="35" borderId="0" xfId="0" applyNumberFormat="1" applyFont="1" applyFill="1" applyAlignment="1">
      <alignment horizontal="center" vertical="center"/>
    </xf>
    <xf numFmtId="0" fontId="38" fillId="35" borderId="11" xfId="0" applyFont="1" applyFill="1" applyBorder="1"/>
    <xf numFmtId="0" fontId="39" fillId="35" borderId="11" xfId="0" applyFont="1" applyFill="1" applyBorder="1"/>
    <xf numFmtId="0" fontId="38" fillId="35" borderId="11" xfId="0" applyFont="1" applyFill="1" applyBorder="1" applyAlignment="1">
      <alignment horizontal="left"/>
    </xf>
    <xf numFmtId="165" fontId="38" fillId="35" borderId="11" xfId="0" applyNumberFormat="1" applyFont="1" applyFill="1" applyBorder="1" applyAlignment="1">
      <alignment horizontal="left"/>
    </xf>
    <xf numFmtId="0" fontId="39" fillId="35" borderId="11" xfId="0" applyFont="1" applyFill="1" applyBorder="1" applyAlignment="1">
      <alignment horizontal="left"/>
    </xf>
    <xf numFmtId="165" fontId="39" fillId="35" borderId="11" xfId="0" applyNumberFormat="1" applyFont="1" applyFill="1" applyBorder="1" applyAlignment="1">
      <alignment horizontal="left"/>
    </xf>
    <xf numFmtId="0" fontId="39" fillId="35" borderId="0" xfId="0" applyFont="1" applyFill="1" applyAlignment="1">
      <alignment horizontal="left"/>
    </xf>
    <xf numFmtId="165" fontId="39" fillId="35" borderId="0" xfId="0" applyNumberFormat="1" applyFont="1" applyFill="1" applyAlignment="1">
      <alignment horizontal="left"/>
    </xf>
    <xf numFmtId="0" fontId="56" fillId="35" borderId="0" xfId="0" applyFont="1" applyFill="1" applyAlignment="1">
      <alignment horizontal="left"/>
    </xf>
    <xf numFmtId="165" fontId="56" fillId="35" borderId="0" xfId="0" applyNumberFormat="1" applyFont="1" applyFill="1" applyAlignment="1">
      <alignment horizontal="left"/>
    </xf>
    <xf numFmtId="0" fontId="38" fillId="35" borderId="0" xfId="40" applyFont="1" applyFill="1"/>
    <xf numFmtId="0" fontId="39" fillId="31" borderId="0" xfId="49" applyFont="1" applyFill="1"/>
    <xf numFmtId="0" fontId="39" fillId="32" borderId="0" xfId="49" applyFont="1" applyFill="1"/>
    <xf numFmtId="6" fontId="39" fillId="0" borderId="0" xfId="0" applyNumberFormat="1" applyFont="1" applyAlignment="1">
      <alignment horizontal="right"/>
    </xf>
    <xf numFmtId="6" fontId="38" fillId="0" borderId="0" xfId="0" applyNumberFormat="1" applyFont="1" applyAlignment="1">
      <alignment horizontal="right"/>
    </xf>
    <xf numFmtId="6" fontId="38" fillId="26" borderId="0" xfId="0" applyNumberFormat="1" applyFont="1" applyFill="1" applyAlignment="1">
      <alignment horizontal="right"/>
    </xf>
    <xf numFmtId="165" fontId="39" fillId="0" borderId="0" xfId="0" applyNumberFormat="1" applyFont="1" applyAlignment="1">
      <alignment horizontal="right"/>
    </xf>
    <xf numFmtId="0" fontId="60" fillId="0" borderId="0" xfId="39" applyFont="1" applyAlignment="1">
      <alignment vertical="center"/>
    </xf>
    <xf numFmtId="0" fontId="60" fillId="0" borderId="19" xfId="39" applyFont="1" applyBorder="1" applyAlignment="1">
      <alignment horizontal="center" vertical="top" wrapText="1"/>
    </xf>
    <xf numFmtId="0" fontId="60" fillId="0" borderId="0" xfId="39" applyFont="1" applyAlignment="1">
      <alignment horizontal="center" vertical="center" wrapText="1"/>
    </xf>
    <xf numFmtId="0" fontId="60" fillId="0" borderId="15" xfId="39" quotePrefix="1" applyFont="1" applyBorder="1" applyAlignment="1">
      <alignment vertical="top"/>
    </xf>
    <xf numFmtId="165" fontId="60" fillId="33" borderId="19" xfId="39" applyNumberFormat="1" applyFont="1" applyFill="1" applyBorder="1" applyAlignment="1">
      <alignment horizontal="center" vertical="center"/>
    </xf>
    <xf numFmtId="165" fontId="60" fillId="0" borderId="19" xfId="39" applyNumberFormat="1" applyFont="1" applyBorder="1" applyAlignment="1">
      <alignment horizontal="center" vertical="center"/>
    </xf>
    <xf numFmtId="0" fontId="60" fillId="0" borderId="22" xfId="39" quotePrefix="1" applyFont="1" applyBorder="1" applyAlignment="1">
      <alignment vertical="center"/>
    </xf>
    <xf numFmtId="0" fontId="60" fillId="0" borderId="18" xfId="39" quotePrefix="1" applyFont="1" applyBorder="1" applyAlignment="1">
      <alignment vertical="center"/>
    </xf>
    <xf numFmtId="0" fontId="63" fillId="0" borderId="19" xfId="39" applyFont="1" applyBorder="1" applyAlignment="1">
      <alignment horizontal="center" vertical="center"/>
    </xf>
    <xf numFmtId="0" fontId="63" fillId="0" borderId="19" xfId="39" applyFont="1" applyBorder="1" applyAlignment="1">
      <alignment horizontal="center" vertical="center" wrapText="1"/>
    </xf>
    <xf numFmtId="165" fontId="60" fillId="0" borderId="19" xfId="39" applyNumberFormat="1" applyFont="1" applyBorder="1" applyAlignment="1">
      <alignment horizontal="center" vertical="center" wrapText="1"/>
    </xf>
    <xf numFmtId="165" fontId="60" fillId="0" borderId="19" xfId="39" quotePrefix="1" applyNumberFormat="1" applyFont="1" applyBorder="1" applyAlignment="1">
      <alignment horizontal="center" vertical="center" wrapText="1"/>
    </xf>
    <xf numFmtId="165" fontId="60" fillId="0" borderId="0" xfId="39" applyNumberFormat="1" applyFont="1" applyAlignment="1">
      <alignment vertical="center"/>
    </xf>
    <xf numFmtId="0" fontId="60" fillId="0" borderId="15" xfId="39" quotePrefix="1" applyFont="1" applyBorder="1" applyAlignment="1">
      <alignment vertical="center"/>
    </xf>
    <xf numFmtId="0" fontId="60" fillId="0" borderId="19" xfId="39" quotePrefix="1" applyFont="1" applyBorder="1" applyAlignment="1">
      <alignment vertical="center"/>
    </xf>
    <xf numFmtId="0" fontId="60" fillId="0" borderId="0" xfId="39" applyFont="1"/>
    <xf numFmtId="0" fontId="60" fillId="0" borderId="15" xfId="39" quotePrefix="1" applyFont="1" applyBorder="1" applyAlignment="1">
      <alignment horizontal="right" vertical="top"/>
    </xf>
    <xf numFmtId="0" fontId="60" fillId="0" borderId="19" xfId="39" applyFont="1" applyBorder="1" applyAlignment="1">
      <alignment horizontal="center" vertical="center" wrapText="1"/>
    </xf>
    <xf numFmtId="0" fontId="60" fillId="0" borderId="22" xfId="39" quotePrefix="1" applyFont="1" applyBorder="1" applyAlignment="1">
      <alignment horizontal="right"/>
    </xf>
    <xf numFmtId="49" fontId="60" fillId="0" borderId="21" xfId="39" applyNumberFormat="1" applyFont="1" applyBorder="1" applyAlignment="1">
      <alignment horizontal="left"/>
    </xf>
    <xf numFmtId="0" fontId="60" fillId="0" borderId="19" xfId="39" applyFont="1" applyBorder="1"/>
    <xf numFmtId="0" fontId="60" fillId="0" borderId="18" xfId="39" quotePrefix="1" applyFont="1" applyBorder="1" applyAlignment="1">
      <alignment horizontal="right"/>
    </xf>
    <xf numFmtId="0" fontId="60" fillId="0" borderId="15" xfId="39" applyFont="1" applyBorder="1" applyAlignment="1">
      <alignment horizontal="right" vertical="center"/>
    </xf>
    <xf numFmtId="0" fontId="60" fillId="0" borderId="22" xfId="39" applyFont="1" applyBorder="1" applyAlignment="1">
      <alignment horizontal="right" vertical="center"/>
    </xf>
    <xf numFmtId="0" fontId="60" fillId="0" borderId="17" xfId="39" applyFont="1" applyBorder="1" applyAlignment="1">
      <alignment horizontal="right" vertical="center"/>
    </xf>
    <xf numFmtId="0" fontId="60" fillId="0" borderId="18" xfId="39" applyFont="1" applyBorder="1" applyAlignment="1">
      <alignment horizontal="right" vertical="center"/>
    </xf>
    <xf numFmtId="5" fontId="60" fillId="0" borderId="19" xfId="28" applyNumberFormat="1" applyFont="1" applyBorder="1" applyAlignment="1">
      <alignment horizontal="center"/>
    </xf>
    <xf numFmtId="0" fontId="60" fillId="0" borderId="0" xfId="39" applyFont="1" applyAlignment="1">
      <alignment horizontal="right"/>
    </xf>
    <xf numFmtId="0" fontId="60" fillId="0" borderId="0" xfId="39" applyFont="1" applyAlignment="1">
      <alignment horizontal="center"/>
    </xf>
    <xf numFmtId="0" fontId="64" fillId="38" borderId="0" xfId="39" applyFont="1" applyFill="1"/>
    <xf numFmtId="0" fontId="64" fillId="0" borderId="0" xfId="39" applyFont="1"/>
    <xf numFmtId="0" fontId="66" fillId="0" borderId="0" xfId="39" applyFont="1" applyAlignment="1">
      <alignment horizontal="left" vertical="center" wrapText="1"/>
    </xf>
    <xf numFmtId="0" fontId="66" fillId="0" borderId="0" xfId="39" applyFont="1" applyAlignment="1">
      <alignment vertical="top"/>
    </xf>
    <xf numFmtId="0" fontId="64" fillId="0" borderId="19" xfId="39" applyFont="1" applyBorder="1"/>
    <xf numFmtId="0" fontId="67" fillId="0" borderId="19" xfId="39" applyFont="1" applyBorder="1" applyAlignment="1">
      <alignment horizontal="center" vertical="center"/>
    </xf>
    <xf numFmtId="0" fontId="66" fillId="0" borderId="17" xfId="39" applyFont="1" applyBorder="1" applyAlignment="1">
      <alignment vertical="top"/>
    </xf>
    <xf numFmtId="0" fontId="66" fillId="0" borderId="14" xfId="39" applyFont="1" applyBorder="1" applyAlignment="1">
      <alignment vertical="top"/>
    </xf>
    <xf numFmtId="0" fontId="64" fillId="0" borderId="17" xfId="39" applyFont="1" applyBorder="1" applyAlignment="1">
      <alignment horizontal="center"/>
    </xf>
    <xf numFmtId="0" fontId="64" fillId="0" borderId="0" xfId="39" applyFont="1" applyAlignment="1">
      <alignment horizontal="center"/>
    </xf>
    <xf numFmtId="49" fontId="71" fillId="0" borderId="0" xfId="39" applyNumberFormat="1" applyFont="1" applyAlignment="1">
      <alignment horizontal="center" vertical="center" wrapText="1"/>
    </xf>
    <xf numFmtId="0" fontId="64" fillId="0" borderId="19" xfId="39" applyFont="1" applyBorder="1" applyAlignment="1">
      <alignment horizontal="center"/>
    </xf>
    <xf numFmtId="0" fontId="64" fillId="0" borderId="14" xfId="39" applyFont="1" applyBorder="1" applyAlignment="1">
      <alignment horizontal="center"/>
    </xf>
    <xf numFmtId="0" fontId="64" fillId="38" borderId="0" xfId="39" applyFont="1" applyFill="1" applyAlignment="1">
      <alignment horizontal="center"/>
    </xf>
    <xf numFmtId="0" fontId="64" fillId="24" borderId="20" xfId="39" applyFont="1" applyFill="1" applyBorder="1"/>
    <xf numFmtId="0" fontId="67" fillId="24" borderId="20" xfId="39" applyFont="1" applyFill="1" applyBorder="1" applyAlignment="1">
      <alignment horizontal="center" vertical="center"/>
    </xf>
    <xf numFmtId="0" fontId="64" fillId="0" borderId="0" xfId="39" applyFont="1" applyAlignment="1">
      <alignment wrapText="1"/>
    </xf>
    <xf numFmtId="0" fontId="64" fillId="0" borderId="14" xfId="39" applyFont="1" applyBorder="1" applyAlignment="1">
      <alignment wrapText="1"/>
    </xf>
    <xf numFmtId="0" fontId="64" fillId="0" borderId="0" xfId="39" applyFont="1" applyAlignment="1">
      <alignment horizontal="center" vertical="center"/>
    </xf>
    <xf numFmtId="49" fontId="72" fillId="0" borderId="0" xfId="39" applyNumberFormat="1" applyFont="1" applyAlignment="1">
      <alignment horizontal="center" vertical="center" wrapText="1"/>
    </xf>
    <xf numFmtId="0" fontId="64" fillId="33" borderId="0" xfId="39" applyFont="1" applyFill="1" applyAlignment="1">
      <alignment horizontal="center" vertical="center"/>
    </xf>
    <xf numFmtId="0" fontId="64" fillId="33" borderId="19" xfId="39" applyFont="1" applyFill="1" applyBorder="1" applyAlignment="1">
      <alignment horizontal="center" vertical="center"/>
    </xf>
    <xf numFmtId="0" fontId="64" fillId="0" borderId="14" xfId="39" applyFont="1" applyBorder="1"/>
    <xf numFmtId="0" fontId="64" fillId="0" borderId="20" xfId="39" applyFont="1" applyBorder="1"/>
    <xf numFmtId="0" fontId="67" fillId="0" borderId="20" xfId="39" applyFont="1" applyBorder="1" applyAlignment="1">
      <alignment horizontal="center" vertical="center"/>
    </xf>
    <xf numFmtId="0" fontId="66" fillId="0" borderId="0" xfId="39" applyFont="1" applyAlignment="1">
      <alignment horizontal="center" vertical="center" wrapText="1"/>
    </xf>
    <xf numFmtId="0" fontId="66" fillId="38" borderId="0" xfId="39" applyFont="1" applyFill="1" applyAlignment="1">
      <alignment horizontal="center" vertical="center" wrapText="1"/>
    </xf>
    <xf numFmtId="0" fontId="60" fillId="0" borderId="0" xfId="40" applyFont="1"/>
    <xf numFmtId="0" fontId="77" fillId="0" borderId="0" xfId="40" applyFont="1" applyAlignment="1">
      <alignment horizontal="right" vertical="center" wrapText="1"/>
    </xf>
    <xf numFmtId="0" fontId="78" fillId="0" borderId="0" xfId="40" applyFont="1" applyAlignment="1">
      <alignment horizontal="right" vertical="center" textRotation="90" wrapText="1"/>
    </xf>
    <xf numFmtId="0" fontId="60" fillId="0" borderId="0" xfId="40" applyFont="1" applyAlignment="1">
      <alignment horizontal="center" vertical="center" wrapText="1"/>
    </xf>
    <xf numFmtId="0" fontId="59" fillId="0" borderId="0" xfId="40" applyFont="1" applyAlignment="1">
      <alignment horizontal="center" wrapText="1"/>
    </xf>
    <xf numFmtId="165" fontId="59" fillId="0" borderId="0" xfId="40" applyNumberFormat="1" applyFont="1" applyAlignment="1">
      <alignment horizontal="center" vertical="center" wrapText="1"/>
    </xf>
    <xf numFmtId="165" fontId="59" fillId="38" borderId="0" xfId="40" applyNumberFormat="1" applyFont="1" applyFill="1" applyAlignment="1">
      <alignment horizontal="center" vertical="center" wrapText="1"/>
    </xf>
    <xf numFmtId="0" fontId="60" fillId="0" borderId="0" xfId="40" applyFont="1" applyAlignment="1">
      <alignment horizontal="center"/>
    </xf>
    <xf numFmtId="0" fontId="60" fillId="38" borderId="0" xfId="40" applyFont="1" applyFill="1" applyAlignment="1">
      <alignment horizontal="center"/>
    </xf>
    <xf numFmtId="0" fontId="59" fillId="0" borderId="0" xfId="40" applyFont="1" applyAlignment="1">
      <alignment horizontal="center"/>
    </xf>
    <xf numFmtId="0" fontId="59" fillId="0" borderId="0" xfId="40" applyFont="1"/>
    <xf numFmtId="165" fontId="60" fillId="0" borderId="0" xfId="40" applyNumberFormat="1" applyFont="1"/>
    <xf numFmtId="0" fontId="59" fillId="0" borderId="0" xfId="40" applyFont="1" applyAlignment="1">
      <alignment horizontal="left"/>
    </xf>
    <xf numFmtId="165" fontId="60" fillId="0" borderId="0" xfId="40" applyNumberFormat="1" applyFont="1" applyAlignment="1">
      <alignment horizontal="center"/>
    </xf>
    <xf numFmtId="0" fontId="60" fillId="0" borderId="0" xfId="0" applyFont="1"/>
    <xf numFmtId="0" fontId="60" fillId="0" borderId="0" xfId="40" applyFont="1" applyAlignment="1">
      <alignment horizontal="right"/>
    </xf>
    <xf numFmtId="0" fontId="60" fillId="27" borderId="0" xfId="40" applyFont="1" applyFill="1"/>
    <xf numFmtId="0" fontId="60" fillId="27" borderId="0" xfId="40" applyFont="1" applyFill="1" applyAlignment="1">
      <alignment horizontal="center"/>
    </xf>
    <xf numFmtId="165" fontId="60" fillId="24" borderId="20" xfId="40" applyNumberFormat="1" applyFont="1" applyFill="1" applyBorder="1" applyAlignment="1">
      <alignment horizontal="right" vertical="center"/>
    </xf>
    <xf numFmtId="165" fontId="60" fillId="0" borderId="0" xfId="40" applyNumberFormat="1" applyFont="1" applyAlignment="1">
      <alignment horizontal="right" vertical="center"/>
    </xf>
    <xf numFmtId="165" fontId="59" fillId="38" borderId="20" xfId="40" applyNumberFormat="1" applyFont="1" applyFill="1" applyBorder="1" applyAlignment="1">
      <alignment horizontal="right" vertical="center"/>
    </xf>
    <xf numFmtId="165" fontId="59" fillId="38" borderId="0" xfId="40" applyNumberFormat="1" applyFont="1" applyFill="1" applyAlignment="1">
      <alignment horizontal="right" vertical="center"/>
    </xf>
    <xf numFmtId="0" fontId="60" fillId="0" borderId="0" xfId="40" applyFont="1" applyAlignment="1">
      <alignment horizontal="right" vertical="center"/>
    </xf>
    <xf numFmtId="165" fontId="60" fillId="24" borderId="0" xfId="40" applyNumberFormat="1" applyFont="1" applyFill="1" applyAlignment="1">
      <alignment horizontal="right" vertical="center"/>
    </xf>
    <xf numFmtId="165" fontId="60" fillId="24" borderId="10" xfId="40" applyNumberFormat="1" applyFont="1" applyFill="1" applyBorder="1" applyAlignment="1">
      <alignment horizontal="right" vertical="center"/>
    </xf>
    <xf numFmtId="165" fontId="60" fillId="0" borderId="10" xfId="40" applyNumberFormat="1" applyFont="1" applyBorder="1" applyAlignment="1">
      <alignment horizontal="right" vertical="center"/>
    </xf>
    <xf numFmtId="37" fontId="60" fillId="0" borderId="0" xfId="40" applyNumberFormat="1" applyFont="1" applyAlignment="1">
      <alignment horizontal="right" vertical="center"/>
    </xf>
    <xf numFmtId="165" fontId="60" fillId="0" borderId="20" xfId="40" applyNumberFormat="1" applyFont="1" applyBorder="1" applyAlignment="1">
      <alignment horizontal="right" vertical="center"/>
    </xf>
    <xf numFmtId="165" fontId="60" fillId="24" borderId="20" xfId="40" quotePrefix="1" applyNumberFormat="1" applyFont="1" applyFill="1" applyBorder="1" applyAlignment="1">
      <alignment horizontal="right" vertical="center"/>
    </xf>
    <xf numFmtId="165" fontId="60" fillId="24" borderId="20" xfId="40" applyNumberFormat="1" applyFont="1" applyFill="1" applyBorder="1" applyAlignment="1">
      <alignment vertical="center"/>
    </xf>
    <xf numFmtId="165" fontId="60" fillId="0" borderId="0" xfId="40" applyNumberFormat="1" applyFont="1" applyAlignment="1">
      <alignment vertical="center"/>
    </xf>
    <xf numFmtId="165" fontId="60" fillId="0" borderId="20" xfId="40" applyNumberFormat="1" applyFont="1" applyBorder="1" applyAlignment="1">
      <alignment vertical="center"/>
    </xf>
    <xf numFmtId="165" fontId="59" fillId="38" borderId="20" xfId="40" applyNumberFormat="1" applyFont="1" applyFill="1" applyBorder="1" applyAlignment="1">
      <alignment vertical="center"/>
    </xf>
    <xf numFmtId="165" fontId="59" fillId="38" borderId="0" xfId="40" applyNumberFormat="1" applyFont="1" applyFill="1" applyAlignment="1">
      <alignment vertical="center"/>
    </xf>
    <xf numFmtId="165" fontId="60" fillId="24" borderId="20" xfId="40" quotePrefix="1" applyNumberFormat="1" applyFont="1" applyFill="1" applyBorder="1" applyAlignment="1">
      <alignment vertical="center"/>
    </xf>
    <xf numFmtId="0" fontId="60" fillId="0" borderId="0" xfId="40" applyFont="1" applyAlignment="1">
      <alignment vertical="center"/>
    </xf>
    <xf numFmtId="165" fontId="60" fillId="24" borderId="0" xfId="40" applyNumberFormat="1" applyFont="1" applyFill="1" applyAlignment="1">
      <alignment vertical="center"/>
    </xf>
    <xf numFmtId="165" fontId="60" fillId="24" borderId="10" xfId="40" applyNumberFormat="1" applyFont="1" applyFill="1" applyBorder="1" applyAlignment="1">
      <alignment vertical="center"/>
    </xf>
    <xf numFmtId="165" fontId="60" fillId="0" borderId="10" xfId="40" applyNumberFormat="1" applyFont="1" applyBorder="1" applyAlignment="1">
      <alignment vertical="center"/>
    </xf>
    <xf numFmtId="37" fontId="60" fillId="0" borderId="0" xfId="40" applyNumberFormat="1" applyFont="1" applyAlignment="1">
      <alignment vertical="center"/>
    </xf>
    <xf numFmtId="165" fontId="39" fillId="25" borderId="0" xfId="0" applyNumberFormat="1" applyFont="1" applyFill="1" applyAlignment="1">
      <alignment horizontal="right"/>
    </xf>
    <xf numFmtId="165" fontId="38" fillId="0" borderId="0" xfId="0" applyNumberFormat="1" applyFont="1" applyAlignment="1">
      <alignment horizontal="right"/>
    </xf>
    <xf numFmtId="0" fontId="38" fillId="0" borderId="0" xfId="0" applyFont="1" applyAlignment="1">
      <alignment horizontal="right"/>
    </xf>
    <xf numFmtId="0" fontId="39" fillId="0" borderId="0" xfId="0" applyFont="1" applyAlignment="1">
      <alignment horizontal="right" vertical="center" wrapText="1"/>
    </xf>
    <xf numFmtId="165" fontId="39" fillId="0" borderId="0" xfId="0" applyNumberFormat="1" applyFont="1" applyAlignment="1">
      <alignment horizontal="right" vertical="center" wrapText="1"/>
    </xf>
    <xf numFmtId="0" fontId="39" fillId="0" borderId="10" xfId="0" applyFont="1" applyBorder="1" applyAlignment="1">
      <alignment horizontal="right" vertical="center" wrapText="1"/>
    </xf>
    <xf numFmtId="0" fontId="40" fillId="0" borderId="0" xfId="0" applyFont="1" applyAlignment="1">
      <alignment horizontal="right"/>
    </xf>
    <xf numFmtId="5" fontId="39" fillId="0" borderId="0" xfId="0" applyNumberFormat="1" applyFont="1" applyAlignment="1">
      <alignment horizontal="right"/>
    </xf>
    <xf numFmtId="164" fontId="40" fillId="0" borderId="0" xfId="0" applyNumberFormat="1" applyFont="1" applyAlignment="1">
      <alignment horizontal="right"/>
    </xf>
    <xf numFmtId="9" fontId="38" fillId="0" borderId="0" xfId="0" applyNumberFormat="1" applyFont="1" applyAlignment="1">
      <alignment horizontal="right" vertical="center"/>
    </xf>
    <xf numFmtId="166" fontId="38" fillId="0" borderId="0" xfId="0" applyNumberFormat="1" applyFont="1" applyAlignment="1">
      <alignment horizontal="right"/>
    </xf>
    <xf numFmtId="165" fontId="38" fillId="35" borderId="0" xfId="0" applyNumberFormat="1" applyFont="1" applyFill="1" applyAlignment="1">
      <alignment horizontal="right"/>
    </xf>
    <xf numFmtId="0" fontId="39" fillId="35" borderId="0" xfId="0" applyFont="1" applyFill="1" applyAlignment="1">
      <alignment horizontal="right"/>
    </xf>
    <xf numFmtId="164" fontId="38" fillId="35" borderId="0" xfId="0" applyNumberFormat="1" applyFont="1" applyFill="1" applyAlignment="1">
      <alignment horizontal="right"/>
    </xf>
    <xf numFmtId="9" fontId="38" fillId="35" borderId="0" xfId="0" applyNumberFormat="1" applyFont="1" applyFill="1" applyAlignment="1">
      <alignment horizontal="right" vertical="center"/>
    </xf>
    <xf numFmtId="165" fontId="38" fillId="35" borderId="11" xfId="0" applyNumberFormat="1" applyFont="1" applyFill="1" applyBorder="1" applyAlignment="1">
      <alignment horizontal="right"/>
    </xf>
    <xf numFmtId="0" fontId="39" fillId="35" borderId="11" xfId="0" applyFont="1" applyFill="1" applyBorder="1" applyAlignment="1">
      <alignment horizontal="right"/>
    </xf>
    <xf numFmtId="165" fontId="39" fillId="35" borderId="11" xfId="0" applyNumberFormat="1" applyFont="1" applyFill="1" applyBorder="1" applyAlignment="1">
      <alignment horizontal="right"/>
    </xf>
    <xf numFmtId="165" fontId="40" fillId="0" borderId="0" xfId="0" applyNumberFormat="1" applyFont="1" applyAlignment="1">
      <alignment horizontal="right"/>
    </xf>
    <xf numFmtId="165" fontId="39" fillId="0" borderId="10" xfId="0" applyNumberFormat="1" applyFont="1" applyBorder="1" applyAlignment="1">
      <alignment horizontal="right"/>
    </xf>
    <xf numFmtId="0" fontId="39" fillId="0" borderId="11" xfId="0" applyFont="1" applyBorder="1" applyAlignment="1">
      <alignment horizontal="right"/>
    </xf>
    <xf numFmtId="165" fontId="39" fillId="35" borderId="0" xfId="0" applyNumberFormat="1" applyFont="1" applyFill="1" applyAlignment="1">
      <alignment horizontal="right"/>
    </xf>
    <xf numFmtId="165" fontId="56" fillId="0" borderId="0" xfId="0" applyNumberFormat="1" applyFont="1" applyAlignment="1">
      <alignment horizontal="right"/>
    </xf>
    <xf numFmtId="165" fontId="38" fillId="0" borderId="10" xfId="0" applyNumberFormat="1" applyFont="1" applyBorder="1" applyAlignment="1">
      <alignment horizontal="right"/>
    </xf>
    <xf numFmtId="165" fontId="39" fillId="0" borderId="0" xfId="40" applyNumberFormat="1" applyFont="1" applyAlignment="1">
      <alignment horizontal="right"/>
    </xf>
    <xf numFmtId="165" fontId="56" fillId="0" borderId="10" xfId="0" applyNumberFormat="1" applyFont="1" applyBorder="1" applyAlignment="1">
      <alignment horizontal="right"/>
    </xf>
    <xf numFmtId="165" fontId="56" fillId="35" borderId="0" xfId="0" applyNumberFormat="1" applyFont="1" applyFill="1" applyAlignment="1">
      <alignment horizontal="right"/>
    </xf>
    <xf numFmtId="0" fontId="39" fillId="0" borderId="10" xfId="0" applyFont="1" applyBorder="1" applyAlignment="1">
      <alignment vertical="center" wrapText="1"/>
    </xf>
    <xf numFmtId="1" fontId="39" fillId="0" borderId="0" xfId="0" applyNumberFormat="1" applyFont="1" applyAlignment="1">
      <alignment wrapText="1"/>
    </xf>
    <xf numFmtId="1" fontId="58" fillId="0" borderId="0" xfId="0" applyNumberFormat="1" applyFont="1" applyAlignment="1">
      <alignment wrapText="1"/>
    </xf>
    <xf numFmtId="9" fontId="39" fillId="0" borderId="0" xfId="0" applyNumberFormat="1" applyFont="1" applyAlignment="1">
      <alignment wrapText="1"/>
    </xf>
    <xf numFmtId="9" fontId="38" fillId="0" borderId="0" xfId="0" applyNumberFormat="1" applyFont="1" applyAlignment="1">
      <alignment vertical="center"/>
    </xf>
    <xf numFmtId="165" fontId="38" fillId="35" borderId="0" xfId="0" applyNumberFormat="1" applyFont="1" applyFill="1"/>
    <xf numFmtId="165" fontId="38" fillId="35" borderId="11" xfId="0" applyNumberFormat="1" applyFont="1" applyFill="1" applyBorder="1"/>
    <xf numFmtId="165" fontId="39" fillId="35" borderId="11" xfId="0" applyNumberFormat="1" applyFont="1" applyFill="1" applyBorder="1"/>
    <xf numFmtId="165" fontId="39" fillId="35" borderId="0" xfId="0" applyNumberFormat="1" applyFont="1" applyFill="1"/>
    <xf numFmtId="165" fontId="38" fillId="0" borderId="10" xfId="0" applyNumberFormat="1" applyFont="1" applyBorder="1"/>
    <xf numFmtId="165" fontId="56" fillId="0" borderId="0" xfId="0" applyNumberFormat="1" applyFont="1"/>
    <xf numFmtId="165" fontId="56" fillId="0" borderId="10" xfId="0" applyNumberFormat="1" applyFont="1" applyBorder="1"/>
    <xf numFmtId="165" fontId="56" fillId="35" borderId="0" xfId="0" applyNumberFormat="1" applyFont="1" applyFill="1"/>
    <xf numFmtId="0" fontId="39" fillId="0" borderId="15" xfId="0" applyFont="1" applyBorder="1"/>
    <xf numFmtId="0" fontId="39" fillId="0" borderId="16" xfId="0" applyFont="1" applyBorder="1"/>
    <xf numFmtId="0" fontId="38" fillId="0" borderId="17" xfId="0" applyFont="1" applyBorder="1"/>
    <xf numFmtId="0" fontId="38" fillId="0" borderId="14" xfId="0" applyFont="1" applyBorder="1"/>
    <xf numFmtId="0" fontId="39" fillId="0" borderId="17" xfId="0" applyFont="1" applyBorder="1" applyAlignment="1">
      <alignment vertical="center" wrapText="1"/>
    </xf>
    <xf numFmtId="0" fontId="39" fillId="0" borderId="14" xfId="0" applyFont="1" applyBorder="1"/>
    <xf numFmtId="0" fontId="39" fillId="0" borderId="17" xfId="0" applyFont="1" applyBorder="1"/>
    <xf numFmtId="0" fontId="39" fillId="0" borderId="14" xfId="0" applyFont="1" applyBorder="1" applyAlignment="1">
      <alignment vertical="center" wrapText="1"/>
    </xf>
    <xf numFmtId="0" fontId="39" fillId="0" borderId="18" xfId="0" applyFont="1" applyBorder="1"/>
    <xf numFmtId="0" fontId="39" fillId="0" borderId="13" xfId="0" applyFont="1" applyBorder="1"/>
    <xf numFmtId="0" fontId="39" fillId="35" borderId="17" xfId="0" applyFont="1" applyFill="1" applyBorder="1"/>
    <xf numFmtId="0" fontId="39" fillId="35" borderId="14" xfId="0" applyFont="1" applyFill="1" applyBorder="1"/>
    <xf numFmtId="0" fontId="39" fillId="35" borderId="15" xfId="0" applyFont="1" applyFill="1" applyBorder="1"/>
    <xf numFmtId="0" fontId="39" fillId="35" borderId="16" xfId="0" applyFont="1" applyFill="1" applyBorder="1"/>
    <xf numFmtId="0" fontId="39" fillId="0" borderId="15" xfId="0" applyFont="1" applyBorder="1" applyAlignment="1">
      <alignment horizontal="right"/>
    </xf>
    <xf numFmtId="0" fontId="39" fillId="0" borderId="16" xfId="0" applyFont="1" applyBorder="1" applyAlignment="1">
      <alignment horizontal="right"/>
    </xf>
    <xf numFmtId="0" fontId="38" fillId="0" borderId="17" xfId="0" applyFont="1" applyBorder="1" applyAlignment="1">
      <alignment horizontal="right"/>
    </xf>
    <xf numFmtId="0" fontId="38" fillId="0" borderId="14" xfId="0" applyFont="1" applyBorder="1" applyAlignment="1">
      <alignment horizontal="right"/>
    </xf>
    <xf numFmtId="0" fontId="39" fillId="0" borderId="17" xfId="0" applyFont="1" applyBorder="1" applyAlignment="1">
      <alignment horizontal="right" vertical="center" wrapText="1"/>
    </xf>
    <xf numFmtId="0" fontId="39" fillId="0" borderId="14" xfId="0" applyFont="1" applyBorder="1" applyAlignment="1">
      <alignment horizontal="right"/>
    </xf>
    <xf numFmtId="0" fontId="39" fillId="0" borderId="17" xfId="0" applyFont="1" applyBorder="1" applyAlignment="1">
      <alignment horizontal="right"/>
    </xf>
    <xf numFmtId="0" fontId="39" fillId="0" borderId="14" xfId="0" applyFont="1" applyBorder="1" applyAlignment="1">
      <alignment horizontal="right" vertical="center" wrapText="1"/>
    </xf>
    <xf numFmtId="0" fontId="39" fillId="0" borderId="18" xfId="0" applyFont="1" applyBorder="1" applyAlignment="1">
      <alignment horizontal="right"/>
    </xf>
    <xf numFmtId="0" fontId="39" fillId="0" borderId="13" xfId="0" applyFont="1" applyBorder="1" applyAlignment="1">
      <alignment horizontal="right"/>
    </xf>
    <xf numFmtId="0" fontId="39" fillId="35" borderId="17" xfId="0" applyFont="1" applyFill="1" applyBorder="1" applyAlignment="1">
      <alignment horizontal="right"/>
    </xf>
    <xf numFmtId="0" fontId="39" fillId="35" borderId="14" xfId="0" applyFont="1" applyFill="1" applyBorder="1" applyAlignment="1">
      <alignment horizontal="right"/>
    </xf>
    <xf numFmtId="0" fontId="39" fillId="35" borderId="15" xfId="0" applyFont="1" applyFill="1" applyBorder="1" applyAlignment="1">
      <alignment horizontal="right"/>
    </xf>
    <xf numFmtId="0" fontId="39" fillId="35" borderId="16" xfId="0" applyFont="1" applyFill="1" applyBorder="1" applyAlignment="1">
      <alignment horizontal="right"/>
    </xf>
    <xf numFmtId="0" fontId="39" fillId="0" borderId="11" xfId="0" applyFont="1" applyBorder="1" applyAlignment="1">
      <alignment horizontal="centerContinuous"/>
    </xf>
    <xf numFmtId="0" fontId="39" fillId="0" borderId="17" xfId="0" applyFont="1" applyBorder="1" applyAlignment="1">
      <alignment horizontal="center" vertical="center" wrapText="1"/>
    </xf>
    <xf numFmtId="0" fontId="39" fillId="0" borderId="0" xfId="0" applyFont="1" applyAlignment="1">
      <alignment horizontal="left" vertical="center" wrapText="1"/>
    </xf>
    <xf numFmtId="0" fontId="38" fillId="0" borderId="17" xfId="0" applyFont="1" applyBorder="1" applyAlignment="1">
      <alignment horizontal="left"/>
    </xf>
    <xf numFmtId="0" fontId="38" fillId="0" borderId="14" xfId="0" applyFont="1" applyBorder="1" applyAlignment="1">
      <alignment horizontal="left"/>
    </xf>
    <xf numFmtId="0" fontId="39" fillId="0" borderId="17" xfId="0" applyFont="1" applyBorder="1" applyAlignment="1">
      <alignment horizontal="left" vertical="center" wrapText="1"/>
    </xf>
    <xf numFmtId="0" fontId="39" fillId="0" borderId="14" xfId="0" applyFont="1" applyBorder="1" applyAlignment="1">
      <alignment horizontal="left"/>
    </xf>
    <xf numFmtId="165" fontId="38" fillId="37" borderId="39" xfId="0" applyNumberFormat="1" applyFont="1" applyFill="1" applyBorder="1" applyAlignment="1">
      <alignment horizontal="center"/>
    </xf>
    <xf numFmtId="165" fontId="39" fillId="0" borderId="40" xfId="0" applyNumberFormat="1" applyFont="1" applyBorder="1" applyAlignment="1">
      <alignment horizontal="center"/>
    </xf>
    <xf numFmtId="0" fontId="39" fillId="0" borderId="22" xfId="0" applyFont="1" applyBorder="1"/>
    <xf numFmtId="0" fontId="39" fillId="0" borderId="23" xfId="0" applyFont="1" applyBorder="1"/>
    <xf numFmtId="0" fontId="38" fillId="35" borderId="22" xfId="0" applyFont="1" applyFill="1" applyBorder="1"/>
    <xf numFmtId="0" fontId="38" fillId="35" borderId="23" xfId="0" applyFont="1" applyFill="1" applyBorder="1"/>
    <xf numFmtId="0" fontId="39" fillId="35" borderId="23" xfId="0" applyFont="1" applyFill="1" applyBorder="1"/>
    <xf numFmtId="0" fontId="39" fillId="35" borderId="22" xfId="0" applyFont="1" applyFill="1" applyBorder="1"/>
    <xf numFmtId="165" fontId="38" fillId="36" borderId="39" xfId="0" applyNumberFormat="1" applyFont="1" applyFill="1" applyBorder="1" applyAlignment="1">
      <alignment horizontal="center"/>
    </xf>
    <xf numFmtId="165" fontId="38" fillId="36" borderId="41" xfId="0" applyNumberFormat="1" applyFont="1" applyFill="1" applyBorder="1" applyAlignment="1">
      <alignment horizontal="center" vertical="center" wrapText="1"/>
    </xf>
    <xf numFmtId="165" fontId="38" fillId="37" borderId="41" xfId="0" applyNumberFormat="1" applyFont="1" applyFill="1" applyBorder="1" applyAlignment="1">
      <alignment horizontal="center" vertical="center" wrapText="1"/>
    </xf>
    <xf numFmtId="165" fontId="38" fillId="0" borderId="0" xfId="0" applyNumberFormat="1" applyFont="1" applyAlignment="1">
      <alignment horizontal="center" vertical="center" wrapText="1"/>
    </xf>
    <xf numFmtId="165" fontId="38" fillId="36" borderId="42" xfId="0" applyNumberFormat="1" applyFont="1" applyFill="1" applyBorder="1" applyAlignment="1">
      <alignment horizontal="center"/>
    </xf>
    <xf numFmtId="165" fontId="38" fillId="37" borderId="42" xfId="0" applyNumberFormat="1" applyFont="1" applyFill="1" applyBorder="1" applyAlignment="1">
      <alignment horizontal="center"/>
    </xf>
    <xf numFmtId="165" fontId="38" fillId="36" borderId="43" xfId="0" applyNumberFormat="1" applyFont="1" applyFill="1" applyBorder="1" applyAlignment="1">
      <alignment horizontal="center" vertical="center" wrapText="1"/>
    </xf>
    <xf numFmtId="165" fontId="38" fillId="37" borderId="43" xfId="0" applyNumberFormat="1" applyFont="1" applyFill="1" applyBorder="1" applyAlignment="1">
      <alignment horizontal="center" vertical="center" wrapText="1"/>
    </xf>
    <xf numFmtId="165" fontId="38" fillId="35" borderId="43" xfId="0" applyNumberFormat="1" applyFont="1" applyFill="1" applyBorder="1" applyAlignment="1">
      <alignment horizontal="center" vertical="center" wrapText="1"/>
    </xf>
    <xf numFmtId="0" fontId="39" fillId="0" borderId="11" xfId="0" applyFont="1" applyBorder="1" applyAlignment="1">
      <alignment horizontal="center"/>
    </xf>
    <xf numFmtId="165" fontId="39" fillId="39" borderId="40" xfId="0" applyNumberFormat="1" applyFont="1" applyFill="1" applyBorder="1" applyAlignment="1">
      <alignment horizontal="right"/>
    </xf>
    <xf numFmtId="165" fontId="39" fillId="0" borderId="40" xfId="0" applyNumberFormat="1" applyFont="1" applyBorder="1" applyAlignment="1">
      <alignment horizontal="right"/>
    </xf>
    <xf numFmtId="165" fontId="39" fillId="39" borderId="19" xfId="0" applyNumberFormat="1" applyFont="1" applyFill="1" applyBorder="1" applyAlignment="1">
      <alignment horizontal="right"/>
    </xf>
    <xf numFmtId="165" fontId="39" fillId="0" borderId="19" xfId="0" applyNumberFormat="1" applyFont="1" applyBorder="1" applyAlignment="1">
      <alignment horizontal="right"/>
    </xf>
    <xf numFmtId="165" fontId="39" fillId="35" borderId="19" xfId="0" applyNumberFormat="1" applyFont="1" applyFill="1" applyBorder="1" applyAlignment="1">
      <alignment horizontal="right"/>
    </xf>
    <xf numFmtId="165" fontId="38" fillId="35" borderId="19" xfId="0" applyNumberFormat="1" applyFont="1" applyFill="1" applyBorder="1" applyAlignment="1">
      <alignment horizontal="right"/>
    </xf>
    <xf numFmtId="165" fontId="38" fillId="0" borderId="20" xfId="0" applyNumberFormat="1" applyFont="1" applyBorder="1" applyAlignment="1">
      <alignment horizontal="right"/>
    </xf>
    <xf numFmtId="165" fontId="38" fillId="35" borderId="20" xfId="0" applyNumberFormat="1" applyFont="1" applyFill="1" applyBorder="1" applyAlignment="1">
      <alignment horizontal="right"/>
    </xf>
    <xf numFmtId="165" fontId="38" fillId="39" borderId="43" xfId="0" applyNumberFormat="1" applyFont="1" applyFill="1" applyBorder="1" applyAlignment="1">
      <alignment horizontal="right"/>
    </xf>
    <xf numFmtId="165" fontId="38" fillId="0" borderId="43" xfId="0" applyNumberFormat="1" applyFont="1" applyBorder="1" applyAlignment="1">
      <alignment horizontal="right"/>
    </xf>
    <xf numFmtId="165" fontId="38" fillId="35" borderId="43" xfId="0" applyNumberFormat="1" applyFont="1" applyFill="1" applyBorder="1" applyAlignment="1">
      <alignment horizontal="right"/>
    </xf>
    <xf numFmtId="165" fontId="38" fillId="35" borderId="42" xfId="0" applyNumberFormat="1" applyFont="1" applyFill="1" applyBorder="1" applyAlignment="1">
      <alignment horizontal="center"/>
    </xf>
    <xf numFmtId="164" fontId="58" fillId="0" borderId="0" xfId="0" applyNumberFormat="1" applyFont="1"/>
    <xf numFmtId="164" fontId="79" fillId="0" borderId="0" xfId="0" applyNumberFormat="1" applyFont="1"/>
    <xf numFmtId="164" fontId="79" fillId="0" borderId="0" xfId="0" applyNumberFormat="1" applyFont="1" applyAlignment="1">
      <alignment horizontal="right"/>
    </xf>
    <xf numFmtId="2" fontId="39" fillId="0" borderId="0" xfId="0" applyNumberFormat="1" applyFont="1" applyAlignment="1">
      <alignment wrapText="1"/>
    </xf>
    <xf numFmtId="164" fontId="80" fillId="35" borderId="0" xfId="0" applyNumberFormat="1" applyFont="1" applyFill="1"/>
    <xf numFmtId="0" fontId="81" fillId="35" borderId="0" xfId="0" applyFont="1" applyFill="1"/>
    <xf numFmtId="9" fontId="80" fillId="35" borderId="0" xfId="0" applyNumberFormat="1" applyFont="1" applyFill="1" applyAlignment="1">
      <alignment vertical="center"/>
    </xf>
    <xf numFmtId="165" fontId="39" fillId="0" borderId="0" xfId="49" applyNumberFormat="1" applyFont="1" applyAlignment="1">
      <alignment horizontal="right"/>
    </xf>
    <xf numFmtId="165" fontId="83" fillId="0" borderId="0" xfId="0" applyNumberFormat="1" applyFont="1"/>
    <xf numFmtId="0" fontId="83" fillId="0" borderId="0" xfId="0" applyFont="1"/>
    <xf numFmtId="0" fontId="83" fillId="0" borderId="0" xfId="0" applyFont="1" applyAlignment="1">
      <alignment horizontal="left"/>
    </xf>
    <xf numFmtId="165" fontId="83" fillId="0" borderId="0" xfId="0" applyNumberFormat="1" applyFont="1" applyAlignment="1">
      <alignment horizontal="left"/>
    </xf>
    <xf numFmtId="165" fontId="39" fillId="0" borderId="0" xfId="0" applyNumberFormat="1" applyFont="1" applyAlignment="1">
      <alignment horizontal="center" vertical="center" wrapText="1"/>
    </xf>
    <xf numFmtId="165" fontId="45" fillId="0" borderId="0" xfId="0" applyNumberFormat="1" applyFont="1" applyAlignment="1">
      <alignment horizontal="right"/>
    </xf>
    <xf numFmtId="165" fontId="84" fillId="0" borderId="0" xfId="0" applyNumberFormat="1" applyFont="1"/>
    <xf numFmtId="0" fontId="86" fillId="0" borderId="0" xfId="0" applyFont="1"/>
    <xf numFmtId="165" fontId="86" fillId="0" borderId="0" xfId="0" applyNumberFormat="1" applyFont="1"/>
    <xf numFmtId="0" fontId="39" fillId="0" borderId="47" xfId="49" applyFont="1" applyBorder="1" applyAlignment="1">
      <alignment horizontal="right"/>
    </xf>
    <xf numFmtId="0" fontId="38" fillId="0" borderId="48" xfId="49" applyFont="1" applyBorder="1" applyAlignment="1">
      <alignment horizontal="right"/>
    </xf>
    <xf numFmtId="165" fontId="38" fillId="0" borderId="48" xfId="0" applyNumberFormat="1" applyFont="1" applyBorder="1" applyAlignment="1">
      <alignment horizontal="right"/>
    </xf>
    <xf numFmtId="165" fontId="38" fillId="0" borderId="49" xfId="0" applyNumberFormat="1" applyFont="1" applyBorder="1" applyAlignment="1">
      <alignment horizontal="right"/>
    </xf>
    <xf numFmtId="165" fontId="39" fillId="0" borderId="12" xfId="0" applyNumberFormat="1" applyFont="1" applyBorder="1" applyAlignment="1">
      <alignment horizontal="center" vertical="center" wrapText="1"/>
    </xf>
    <xf numFmtId="165" fontId="38" fillId="0" borderId="50" xfId="0" applyNumberFormat="1" applyFont="1" applyBorder="1" applyAlignment="1">
      <alignment horizontal="center" vertical="center" wrapText="1"/>
    </xf>
    <xf numFmtId="165" fontId="39" fillId="0" borderId="12" xfId="0" applyNumberFormat="1" applyFont="1" applyBorder="1" applyAlignment="1">
      <alignment horizontal="right"/>
    </xf>
    <xf numFmtId="165" fontId="38" fillId="0" borderId="50" xfId="0" applyNumberFormat="1" applyFont="1" applyBorder="1" applyAlignment="1">
      <alignment horizontal="right"/>
    </xf>
    <xf numFmtId="165" fontId="39" fillId="0" borderId="12" xfId="0" applyNumberFormat="1" applyFont="1" applyBorder="1" applyAlignment="1">
      <alignment horizontal="right" vertical="center" wrapText="1"/>
    </xf>
    <xf numFmtId="165" fontId="38" fillId="0" borderId="50" xfId="0" applyNumberFormat="1" applyFont="1" applyBorder="1" applyAlignment="1">
      <alignment horizontal="right" vertical="center" wrapText="1"/>
    </xf>
    <xf numFmtId="165" fontId="39" fillId="0" borderId="51" xfId="0" applyNumberFormat="1" applyFont="1" applyBorder="1" applyAlignment="1">
      <alignment horizontal="right"/>
    </xf>
    <xf numFmtId="165" fontId="45" fillId="0" borderId="50" xfId="0" applyNumberFormat="1" applyFont="1" applyBorder="1" applyAlignment="1">
      <alignment horizontal="right"/>
    </xf>
    <xf numFmtId="165" fontId="56" fillId="0" borderId="12" xfId="0" applyNumberFormat="1" applyFont="1" applyBorder="1" applyAlignment="1">
      <alignment horizontal="right"/>
    </xf>
    <xf numFmtId="165" fontId="39" fillId="0" borderId="12" xfId="40" applyNumberFormat="1" applyFont="1" applyBorder="1" applyAlignment="1">
      <alignment horizontal="right"/>
    </xf>
    <xf numFmtId="165" fontId="38" fillId="0" borderId="54" xfId="0" applyNumberFormat="1" applyFont="1" applyBorder="1" applyAlignment="1">
      <alignment horizontal="right"/>
    </xf>
    <xf numFmtId="165" fontId="38" fillId="0" borderId="55" xfId="0" applyNumberFormat="1" applyFont="1" applyBorder="1" applyAlignment="1">
      <alignment horizontal="right"/>
    </xf>
    <xf numFmtId="165" fontId="58" fillId="0" borderId="0" xfId="0" applyNumberFormat="1" applyFont="1" applyAlignment="1">
      <alignment horizontal="right"/>
    </xf>
    <xf numFmtId="0" fontId="39" fillId="0" borderId="0" xfId="0" quotePrefix="1" applyFont="1" applyAlignment="1">
      <alignment horizontal="right"/>
    </xf>
    <xf numFmtId="165" fontId="83" fillId="0" borderId="0" xfId="0" applyNumberFormat="1" applyFont="1" applyAlignment="1">
      <alignment horizontal="right"/>
    </xf>
    <xf numFmtId="0" fontId="39" fillId="0" borderId="0" xfId="0" quotePrefix="1" applyFont="1" applyAlignment="1">
      <alignment horizontal="center"/>
    </xf>
    <xf numFmtId="6" fontId="39" fillId="0" borderId="0" xfId="0" applyNumberFormat="1" applyFont="1"/>
    <xf numFmtId="6" fontId="39" fillId="37" borderId="0" xfId="0" applyNumberFormat="1" applyFont="1" applyFill="1" applyAlignment="1">
      <alignment horizontal="right"/>
    </xf>
    <xf numFmtId="6" fontId="39" fillId="36" borderId="0" xfId="0" applyNumberFormat="1" applyFont="1" applyFill="1" applyAlignment="1">
      <alignment horizontal="right"/>
    </xf>
    <xf numFmtId="6" fontId="38" fillId="35" borderId="0" xfId="0" applyNumberFormat="1" applyFont="1" applyFill="1" applyAlignment="1">
      <alignment horizontal="right"/>
    </xf>
    <xf numFmtId="6" fontId="38" fillId="0" borderId="0" xfId="0" applyNumberFormat="1" applyFont="1"/>
    <xf numFmtId="0" fontId="39" fillId="0" borderId="10" xfId="0" applyFont="1" applyBorder="1" applyAlignment="1">
      <alignment horizontal="center"/>
    </xf>
    <xf numFmtId="6" fontId="39" fillId="0" borderId="10" xfId="0" applyNumberFormat="1" applyFont="1" applyBorder="1"/>
    <xf numFmtId="6" fontId="39" fillId="0" borderId="0" xfId="0" applyNumberFormat="1" applyFont="1" applyAlignment="1">
      <alignment horizontal="center"/>
    </xf>
    <xf numFmtId="0" fontId="82" fillId="0" borderId="0" xfId="0" applyFont="1" applyAlignment="1">
      <alignment wrapText="1"/>
    </xf>
    <xf numFmtId="0" fontId="55" fillId="0" borderId="0" xfId="0" applyFont="1"/>
    <xf numFmtId="0" fontId="54" fillId="0" borderId="0" xfId="0" applyFont="1"/>
    <xf numFmtId="2" fontId="39" fillId="0" borderId="0" xfId="0" applyNumberFormat="1" applyFont="1" applyAlignment="1">
      <alignment horizontal="right"/>
    </xf>
    <xf numFmtId="165" fontId="39" fillId="0" borderId="11" xfId="0" applyNumberFormat="1" applyFont="1" applyBorder="1"/>
    <xf numFmtId="0" fontId="87" fillId="35" borderId="0" xfId="0" applyFont="1" applyFill="1"/>
    <xf numFmtId="165" fontId="85" fillId="35" borderId="0" xfId="0" applyNumberFormat="1" applyFont="1" applyFill="1"/>
    <xf numFmtId="0" fontId="38" fillId="35" borderId="0" xfId="0" applyFont="1" applyFill="1" applyAlignment="1">
      <alignment horizontal="right"/>
    </xf>
    <xf numFmtId="165" fontId="39" fillId="0" borderId="53" xfId="0" applyNumberFormat="1" applyFont="1" applyBorder="1" applyAlignment="1">
      <alignment horizontal="right"/>
    </xf>
    <xf numFmtId="0" fontId="38" fillId="35" borderId="17" xfId="0" applyFont="1" applyFill="1" applyBorder="1" applyAlignment="1">
      <alignment horizontal="right"/>
    </xf>
    <xf numFmtId="165" fontId="38" fillId="35" borderId="14" xfId="0" applyNumberFormat="1" applyFont="1" applyFill="1" applyBorder="1" applyAlignment="1">
      <alignment horizontal="right"/>
    </xf>
    <xf numFmtId="0" fontId="38" fillId="35" borderId="14" xfId="0" applyFont="1" applyFill="1" applyBorder="1" applyAlignment="1">
      <alignment horizontal="right"/>
    </xf>
    <xf numFmtId="0" fontId="38" fillId="35" borderId="17" xfId="0" applyFont="1" applyFill="1" applyBorder="1"/>
    <xf numFmtId="165" fontId="38" fillId="35" borderId="14" xfId="0" applyNumberFormat="1" applyFont="1" applyFill="1" applyBorder="1"/>
    <xf numFmtId="0" fontId="38" fillId="35" borderId="14" xfId="0" applyFont="1" applyFill="1" applyBorder="1"/>
    <xf numFmtId="0" fontId="58" fillId="0" borderId="0" xfId="0" applyFont="1"/>
    <xf numFmtId="165" fontId="38" fillId="0" borderId="50" xfId="0" applyNumberFormat="1" applyFont="1" applyBorder="1" applyAlignment="1">
      <alignment horizontal="left" vertical="center" wrapText="1"/>
    </xf>
    <xf numFmtId="0" fontId="41" fillId="0" borderId="0" xfId="49" applyFont="1" applyAlignment="1">
      <alignment wrapText="1"/>
    </xf>
    <xf numFmtId="0" fontId="39" fillId="0" borderId="0" xfId="48" applyFont="1"/>
    <xf numFmtId="0" fontId="39" fillId="0" borderId="0" xfId="48" applyFont="1" applyAlignment="1">
      <alignment wrapText="1"/>
    </xf>
    <xf numFmtId="3" fontId="39" fillId="0" borderId="0" xfId="48" applyNumberFormat="1" applyFont="1"/>
    <xf numFmtId="0" fontId="39" fillId="0" borderId="0" xfId="48" applyFont="1" applyAlignment="1">
      <alignment horizontal="right"/>
    </xf>
    <xf numFmtId="0" fontId="39" fillId="0" borderId="0" xfId="48" applyFont="1" applyAlignment="1">
      <alignment horizontal="center" vertical="center" wrapText="1"/>
    </xf>
    <xf numFmtId="37" fontId="39" fillId="0" borderId="0" xfId="48" applyNumberFormat="1" applyFont="1" applyAlignment="1">
      <alignment horizontal="center" vertical="center" wrapText="1"/>
    </xf>
    <xf numFmtId="41" fontId="39" fillId="0" borderId="0" xfId="48" applyNumberFormat="1" applyFont="1" applyAlignment="1">
      <alignment horizontal="center" vertical="center" wrapText="1"/>
    </xf>
    <xf numFmtId="170" fontId="39" fillId="0" borderId="0" xfId="48" applyNumberFormat="1" applyFont="1" applyAlignment="1">
      <alignment horizontal="center" vertical="center" wrapText="1"/>
    </xf>
    <xf numFmtId="37" fontId="39" fillId="0" borderId="0" xfId="48" applyNumberFormat="1" applyFont="1"/>
    <xf numFmtId="0" fontId="88" fillId="0" borderId="19" xfId="0" applyFont="1" applyBorder="1" applyAlignment="1">
      <alignment horizontal="left" vertical="top"/>
    </xf>
    <xf numFmtId="0" fontId="39" fillId="0" borderId="19" xfId="0" applyFont="1" applyBorder="1"/>
    <xf numFmtId="42" fontId="39" fillId="0" borderId="19" xfId="0" applyNumberFormat="1" applyFont="1" applyBorder="1"/>
    <xf numFmtId="3" fontId="39" fillId="0" borderId="19" xfId="48" applyNumberFormat="1" applyFont="1" applyBorder="1"/>
    <xf numFmtId="0" fontId="39" fillId="0" borderId="19" xfId="48" applyFont="1" applyBorder="1"/>
    <xf numFmtId="37" fontId="39" fillId="0" borderId="19" xfId="48" applyNumberFormat="1" applyFont="1" applyBorder="1"/>
    <xf numFmtId="173" fontId="39" fillId="0" borderId="0" xfId="0" applyNumberFormat="1" applyFont="1" applyAlignment="1">
      <alignment wrapText="1"/>
    </xf>
    <xf numFmtId="173" fontId="39" fillId="0" borderId="0" xfId="0" applyNumberFormat="1" applyFont="1"/>
    <xf numFmtId="0" fontId="39" fillId="34" borderId="0" xfId="48" applyFont="1" applyFill="1"/>
    <xf numFmtId="0" fontId="39" fillId="34" borderId="0" xfId="48" applyFont="1" applyFill="1" applyAlignment="1">
      <alignment wrapText="1"/>
    </xf>
    <xf numFmtId="3" fontId="39" fillId="34" borderId="0" xfId="48" applyNumberFormat="1" applyFont="1" applyFill="1"/>
    <xf numFmtId="0" fontId="39" fillId="34" borderId="0" xfId="48" applyFont="1" applyFill="1" applyAlignment="1">
      <alignment horizontal="right"/>
    </xf>
    <xf numFmtId="0" fontId="38" fillId="0" borderId="0" xfId="48" applyFont="1" applyAlignment="1">
      <alignment wrapText="1"/>
    </xf>
    <xf numFmtId="0" fontId="39" fillId="34" borderId="0" xfId="0" applyFont="1" applyFill="1"/>
    <xf numFmtId="0" fontId="39" fillId="34" borderId="0" xfId="0" applyFont="1" applyFill="1" applyAlignment="1">
      <alignment horizontal="center"/>
    </xf>
    <xf numFmtId="165" fontId="39" fillId="34" borderId="0" xfId="0" applyNumberFormat="1" applyFont="1" applyFill="1" applyAlignment="1">
      <alignment horizontal="right"/>
    </xf>
    <xf numFmtId="165" fontId="39" fillId="34" borderId="0" xfId="0" applyNumberFormat="1" applyFont="1" applyFill="1"/>
    <xf numFmtId="165" fontId="38" fillId="34" borderId="0" xfId="0" applyNumberFormat="1" applyFont="1" applyFill="1"/>
    <xf numFmtId="6" fontId="39" fillId="34" borderId="0" xfId="0" applyNumberFormat="1" applyFont="1" applyFill="1" applyAlignment="1">
      <alignment horizontal="right"/>
    </xf>
    <xf numFmtId="6" fontId="38" fillId="34" borderId="0" xfId="0" applyNumberFormat="1" applyFont="1" applyFill="1" applyAlignment="1">
      <alignment horizontal="right"/>
    </xf>
    <xf numFmtId="0" fontId="39" fillId="34" borderId="0" xfId="0" applyFont="1" applyFill="1" applyAlignment="1">
      <alignment horizontal="right"/>
    </xf>
    <xf numFmtId="165" fontId="38" fillId="34" borderId="0" xfId="0" applyNumberFormat="1" applyFont="1" applyFill="1" applyAlignment="1">
      <alignment horizontal="right"/>
    </xf>
    <xf numFmtId="0" fontId="38" fillId="34" borderId="0" xfId="0" applyFont="1" applyFill="1"/>
    <xf numFmtId="165" fontId="39" fillId="34" borderId="0" xfId="0" applyNumberFormat="1" applyFont="1" applyFill="1" applyAlignment="1">
      <alignment horizontal="center"/>
    </xf>
    <xf numFmtId="165" fontId="38" fillId="34" borderId="0" xfId="0" applyNumberFormat="1" applyFont="1" applyFill="1" applyAlignment="1">
      <alignment horizontal="center"/>
    </xf>
    <xf numFmtId="0" fontId="86" fillId="34" borderId="0" xfId="0" applyFont="1" applyFill="1"/>
    <xf numFmtId="165" fontId="84" fillId="34" borderId="0" xfId="0" applyNumberFormat="1" applyFont="1" applyFill="1"/>
    <xf numFmtId="0" fontId="90" fillId="0" borderId="0" xfId="0" applyFont="1"/>
    <xf numFmtId="0" fontId="42" fillId="0" borderId="0" xfId="0" applyFont="1"/>
    <xf numFmtId="0" fontId="39" fillId="0" borderId="0" xfId="48" applyFont="1" applyAlignment="1">
      <alignment horizontal="left" vertical="center" wrapText="1"/>
    </xf>
    <xf numFmtId="37" fontId="39" fillId="0" borderId="0" xfId="48" applyNumberFormat="1" applyFont="1" applyAlignment="1">
      <alignment horizontal="left" vertical="center" wrapText="1"/>
    </xf>
    <xf numFmtId="41" fontId="39" fillId="0" borderId="0" xfId="48" applyNumberFormat="1" applyFont="1" applyAlignment="1">
      <alignment horizontal="left" vertical="center" wrapText="1"/>
    </xf>
    <xf numFmtId="170" fontId="39" fillId="0" borderId="0" xfId="48" applyNumberFormat="1" applyFont="1" applyAlignment="1">
      <alignment horizontal="left" vertical="center" wrapText="1"/>
    </xf>
    <xf numFmtId="0" fontId="39" fillId="41" borderId="0" xfId="48" applyFont="1" applyFill="1"/>
    <xf numFmtId="0" fontId="39" fillId="37" borderId="0" xfId="48" applyFont="1" applyFill="1" applyAlignment="1">
      <alignment horizontal="center" vertical="center" wrapText="1"/>
    </xf>
    <xf numFmtId="42" fontId="39" fillId="0" borderId="0" xfId="0" applyNumberFormat="1" applyFont="1" applyAlignment="1">
      <alignment horizontal="center"/>
    </xf>
    <xf numFmtId="0" fontId="39" fillId="34" borderId="0" xfId="48" applyFont="1" applyFill="1" applyAlignment="1">
      <alignment horizontal="center"/>
    </xf>
    <xf numFmtId="0" fontId="39" fillId="0" borderId="0" xfId="48" applyFont="1" applyAlignment="1">
      <alignment horizontal="center"/>
    </xf>
    <xf numFmtId="42" fontId="39" fillId="37" borderId="22" xfId="0" applyNumberFormat="1" applyFont="1" applyFill="1" applyBorder="1"/>
    <xf numFmtId="0" fontId="39" fillId="34" borderId="19" xfId="48" applyFont="1" applyFill="1" applyBorder="1" applyAlignment="1">
      <alignment horizontal="right"/>
    </xf>
    <xf numFmtId="0" fontId="39" fillId="0" borderId="19" xfId="48" applyFont="1" applyBorder="1" applyAlignment="1">
      <alignment horizontal="right"/>
    </xf>
    <xf numFmtId="0" fontId="46" fillId="0" borderId="19" xfId="49" applyFont="1" applyBorder="1"/>
    <xf numFmtId="0" fontId="41" fillId="0" borderId="19" xfId="49" applyFont="1" applyBorder="1" applyAlignment="1">
      <alignment wrapText="1"/>
    </xf>
    <xf numFmtId="3" fontId="41" fillId="0" borderId="19" xfId="49" applyNumberFormat="1" applyFont="1" applyBorder="1"/>
    <xf numFmtId="3" fontId="41" fillId="0" borderId="0" xfId="49" applyNumberFormat="1" applyFont="1"/>
    <xf numFmtId="42" fontId="39" fillId="0" borderId="19" xfId="48" applyNumberFormat="1" applyFont="1" applyBorder="1"/>
    <xf numFmtId="0" fontId="39" fillId="0" borderId="11" xfId="0" applyFont="1" applyBorder="1" applyAlignment="1">
      <alignment horizontal="left"/>
    </xf>
    <xf numFmtId="165" fontId="39" fillId="0" borderId="11" xfId="0" applyNumberFormat="1" applyFont="1" applyBorder="1" applyAlignment="1">
      <alignment horizontal="right"/>
    </xf>
    <xf numFmtId="165" fontId="39" fillId="0" borderId="11" xfId="0" applyNumberFormat="1" applyFont="1" applyBorder="1" applyAlignment="1">
      <alignment horizontal="left"/>
    </xf>
    <xf numFmtId="0" fontId="81" fillId="0" borderId="0" xfId="0" applyFont="1"/>
    <xf numFmtId="6" fontId="39" fillId="0" borderId="15" xfId="0" applyNumberFormat="1" applyFont="1" applyBorder="1" applyAlignment="1">
      <alignment horizontal="right"/>
    </xf>
    <xf numFmtId="6" fontId="39" fillId="0" borderId="16" xfId="0" applyNumberFormat="1" applyFont="1" applyBorder="1" applyAlignment="1">
      <alignment horizontal="right"/>
    </xf>
    <xf numFmtId="6" fontId="39" fillId="0" borderId="17" xfId="0" applyNumberFormat="1" applyFont="1" applyBorder="1" applyAlignment="1">
      <alignment horizontal="right"/>
    </xf>
    <xf numFmtId="6" fontId="39" fillId="0" borderId="14" xfId="0" applyNumberFormat="1" applyFont="1" applyBorder="1" applyAlignment="1">
      <alignment horizontal="right"/>
    </xf>
    <xf numFmtId="8" fontId="39" fillId="0" borderId="17" xfId="0" applyNumberFormat="1" applyFont="1" applyBorder="1" applyAlignment="1">
      <alignment horizontal="right"/>
    </xf>
    <xf numFmtId="6" fontId="39" fillId="0" borderId="18" xfId="0" applyNumberFormat="1" applyFont="1" applyBorder="1" applyAlignment="1">
      <alignment horizontal="right"/>
    </xf>
    <xf numFmtId="6" fontId="39" fillId="0" borderId="13" xfId="0" applyNumberFormat="1" applyFont="1" applyBorder="1" applyAlignment="1">
      <alignment horizontal="right"/>
    </xf>
    <xf numFmtId="6" fontId="92" fillId="0" borderId="17" xfId="0" applyNumberFormat="1" applyFont="1" applyBorder="1" applyAlignment="1">
      <alignment horizontal="center" vertical="center"/>
    </xf>
    <xf numFmtId="0" fontId="92" fillId="0" borderId="0" xfId="0" applyFont="1" applyAlignment="1">
      <alignment horizontal="center" vertical="center"/>
    </xf>
    <xf numFmtId="6" fontId="92" fillId="0" borderId="14" xfId="0" applyNumberFormat="1" applyFont="1" applyBorder="1" applyAlignment="1">
      <alignment horizontal="center" vertical="center"/>
    </xf>
    <xf numFmtId="165" fontId="39" fillId="0" borderId="17" xfId="0" applyNumberFormat="1" applyFont="1" applyBorder="1" applyAlignment="1">
      <alignment horizontal="right"/>
    </xf>
    <xf numFmtId="165" fontId="39" fillId="0" borderId="14" xfId="0" applyNumberFormat="1" applyFont="1" applyBorder="1" applyAlignment="1">
      <alignment horizontal="right"/>
    </xf>
    <xf numFmtId="0" fontId="92" fillId="0" borderId="17" xfId="0" applyFont="1" applyBorder="1" applyAlignment="1">
      <alignment horizontal="center" vertical="center"/>
    </xf>
    <xf numFmtId="0" fontId="92" fillId="0" borderId="14" xfId="0" applyFont="1" applyBorder="1" applyAlignment="1">
      <alignment horizontal="center" vertical="center"/>
    </xf>
    <xf numFmtId="0" fontId="39" fillId="0" borderId="17" xfId="0" applyFont="1" applyBorder="1" applyAlignment="1">
      <alignment horizontal="center"/>
    </xf>
    <xf numFmtId="165" fontId="39" fillId="0" borderId="17" xfId="0" applyNumberFormat="1" applyFont="1" applyBorder="1"/>
    <xf numFmtId="165" fontId="39" fillId="0" borderId="14" xfId="0" applyNumberFormat="1" applyFont="1" applyBorder="1"/>
    <xf numFmtId="0" fontId="92" fillId="0" borderId="17" xfId="0" applyFont="1" applyBorder="1"/>
    <xf numFmtId="0" fontId="92" fillId="0" borderId="0" xfId="0" applyFont="1"/>
    <xf numFmtId="0" fontId="92" fillId="0" borderId="14" xfId="0" applyFont="1" applyBorder="1"/>
    <xf numFmtId="0" fontId="88" fillId="40" borderId="39" xfId="0" applyFont="1" applyFill="1" applyBorder="1" applyAlignment="1">
      <alignment horizontal="center" vertical="top" wrapText="1"/>
    </xf>
    <xf numFmtId="0" fontId="88" fillId="37" borderId="39" xfId="0" applyFont="1" applyFill="1" applyBorder="1" applyAlignment="1">
      <alignment horizontal="center" vertical="top" wrapText="1"/>
    </xf>
    <xf numFmtId="10" fontId="88" fillId="40" borderId="39" xfId="0" applyNumberFormat="1" applyFont="1" applyFill="1" applyBorder="1" applyAlignment="1">
      <alignment horizontal="center" vertical="top" wrapText="1"/>
    </xf>
    <xf numFmtId="42" fontId="88" fillId="40" borderId="39" xfId="0" applyNumberFormat="1" applyFont="1" applyFill="1" applyBorder="1" applyAlignment="1">
      <alignment horizontal="center" vertical="top" wrapText="1"/>
    </xf>
    <xf numFmtId="42" fontId="88" fillId="37" borderId="15" xfId="0" applyNumberFormat="1" applyFont="1" applyFill="1" applyBorder="1" applyAlignment="1">
      <alignment horizontal="center" vertical="top" wrapText="1"/>
    </xf>
    <xf numFmtId="0" fontId="39" fillId="37" borderId="39" xfId="48" applyFont="1" applyFill="1" applyBorder="1" applyAlignment="1">
      <alignment horizontal="center" vertical="center" wrapText="1"/>
    </xf>
    <xf numFmtId="0" fontId="81" fillId="35" borderId="11" xfId="0" applyFont="1" applyFill="1" applyBorder="1"/>
    <xf numFmtId="0" fontId="42" fillId="0" borderId="0" xfId="0" applyFont="1" applyAlignment="1">
      <alignment horizontal="left"/>
    </xf>
    <xf numFmtId="0" fontId="38" fillId="37" borderId="0" xfId="0" applyFont="1" applyFill="1"/>
    <xf numFmtId="165" fontId="39" fillId="37" borderId="12" xfId="0" applyNumberFormat="1" applyFont="1" applyFill="1" applyBorder="1" applyAlignment="1">
      <alignment horizontal="right"/>
    </xf>
    <xf numFmtId="165" fontId="38" fillId="37" borderId="50" xfId="0" applyNumberFormat="1" applyFont="1" applyFill="1" applyBorder="1" applyAlignment="1">
      <alignment horizontal="right"/>
    </xf>
    <xf numFmtId="0" fontId="39" fillId="37" borderId="0" xfId="0" applyFont="1" applyFill="1"/>
    <xf numFmtId="0" fontId="87" fillId="37" borderId="0" xfId="0" applyFont="1" applyFill="1"/>
    <xf numFmtId="165" fontId="85" fillId="37" borderId="0" xfId="0" applyNumberFormat="1" applyFont="1" applyFill="1"/>
    <xf numFmtId="165" fontId="38" fillId="37" borderId="0" xfId="0" applyNumberFormat="1" applyFont="1" applyFill="1" applyAlignment="1">
      <alignment horizontal="right"/>
    </xf>
    <xf numFmtId="0" fontId="39" fillId="0" borderId="19" xfId="0" applyFont="1" applyBorder="1" applyAlignment="1">
      <alignment horizontal="center"/>
    </xf>
    <xf numFmtId="0" fontId="39" fillId="0" borderId="0" xfId="0" applyFont="1" applyAlignment="1">
      <alignment horizontal="center" wrapText="1"/>
    </xf>
    <xf numFmtId="0" fontId="39" fillId="0" borderId="0" xfId="0" applyFont="1" applyAlignment="1">
      <alignment wrapText="1"/>
    </xf>
    <xf numFmtId="10" fontId="39" fillId="0" borderId="19" xfId="0" applyNumberFormat="1" applyFont="1" applyBorder="1" applyAlignment="1">
      <alignment horizontal="center"/>
    </xf>
    <xf numFmtId="3" fontId="39" fillId="0" borderId="19" xfId="48" applyNumberFormat="1" applyFont="1" applyBorder="1" applyAlignment="1">
      <alignment horizontal="center"/>
    </xf>
    <xf numFmtId="3" fontId="39" fillId="0" borderId="0" xfId="48" applyNumberFormat="1" applyFont="1" applyAlignment="1">
      <alignment horizontal="center"/>
    </xf>
    <xf numFmtId="3" fontId="39" fillId="34" borderId="0" xfId="48" applyNumberFormat="1" applyFont="1" applyFill="1" applyAlignment="1">
      <alignment horizontal="center"/>
    </xf>
    <xf numFmtId="0" fontId="38" fillId="42" borderId="0" xfId="0" applyFont="1" applyFill="1"/>
    <xf numFmtId="0" fontId="39" fillId="42" borderId="0" xfId="0" applyFont="1" applyFill="1"/>
    <xf numFmtId="0" fontId="38" fillId="42" borderId="0" xfId="0" applyFont="1" applyFill="1" applyAlignment="1">
      <alignment horizontal="left"/>
    </xf>
    <xf numFmtId="165" fontId="38" fillId="42" borderId="0" xfId="0" applyNumberFormat="1" applyFont="1" applyFill="1" applyAlignment="1">
      <alignment horizontal="right"/>
    </xf>
    <xf numFmtId="165" fontId="38" fillId="42" borderId="12" xfId="0" applyNumberFormat="1" applyFont="1" applyFill="1" applyBorder="1" applyAlignment="1">
      <alignment horizontal="right"/>
    </xf>
    <xf numFmtId="165" fontId="38" fillId="42" borderId="50" xfId="0" applyNumberFormat="1" applyFont="1" applyFill="1" applyBorder="1" applyAlignment="1">
      <alignment horizontal="right"/>
    </xf>
    <xf numFmtId="0" fontId="38" fillId="42" borderId="11" xfId="0" applyFont="1" applyFill="1" applyBorder="1"/>
    <xf numFmtId="0" fontId="39" fillId="42" borderId="11" xfId="0" applyFont="1" applyFill="1" applyBorder="1"/>
    <xf numFmtId="0" fontId="38" fillId="42" borderId="11" xfId="0" applyFont="1" applyFill="1" applyBorder="1" applyAlignment="1">
      <alignment horizontal="left"/>
    </xf>
    <xf numFmtId="165" fontId="38" fillId="42" borderId="11" xfId="0" applyNumberFormat="1" applyFont="1" applyFill="1" applyBorder="1" applyAlignment="1">
      <alignment horizontal="right"/>
    </xf>
    <xf numFmtId="0" fontId="39" fillId="42" borderId="11" xfId="0" applyFont="1" applyFill="1" applyBorder="1" applyAlignment="1">
      <alignment horizontal="left"/>
    </xf>
    <xf numFmtId="165" fontId="39" fillId="42" borderId="11" xfId="0" applyNumberFormat="1" applyFont="1" applyFill="1" applyBorder="1" applyAlignment="1">
      <alignment horizontal="right"/>
    </xf>
    <xf numFmtId="165" fontId="39" fillId="42" borderId="52" xfId="0" applyNumberFormat="1" applyFont="1" applyFill="1" applyBorder="1" applyAlignment="1">
      <alignment horizontal="right"/>
    </xf>
    <xf numFmtId="0" fontId="39" fillId="42" borderId="0" xfId="0" applyFont="1" applyFill="1" applyAlignment="1">
      <alignment horizontal="left"/>
    </xf>
    <xf numFmtId="165" fontId="39" fillId="42" borderId="0" xfId="0" applyNumberFormat="1" applyFont="1" applyFill="1" applyAlignment="1">
      <alignment horizontal="right"/>
    </xf>
    <xf numFmtId="165" fontId="39" fillId="42" borderId="12" xfId="0" applyNumberFormat="1" applyFont="1" applyFill="1" applyBorder="1" applyAlignment="1">
      <alignment horizontal="right"/>
    </xf>
    <xf numFmtId="0" fontId="56" fillId="42" borderId="0" xfId="0" applyFont="1" applyFill="1" applyAlignment="1">
      <alignment horizontal="left"/>
    </xf>
    <xf numFmtId="165" fontId="56" fillId="42" borderId="0" xfId="0" applyNumberFormat="1" applyFont="1" applyFill="1" applyAlignment="1">
      <alignment horizontal="right"/>
    </xf>
    <xf numFmtId="165" fontId="56" fillId="42" borderId="12" xfId="0" applyNumberFormat="1" applyFont="1" applyFill="1" applyBorder="1" applyAlignment="1">
      <alignment horizontal="right"/>
    </xf>
    <xf numFmtId="0" fontId="38" fillId="42" borderId="0" xfId="40" applyFont="1" applyFill="1"/>
    <xf numFmtId="165" fontId="85" fillId="42" borderId="50" xfId="0" applyNumberFormat="1" applyFont="1" applyFill="1" applyBorder="1" applyAlignment="1">
      <alignment horizontal="right"/>
    </xf>
    <xf numFmtId="174" fontId="39" fillId="0" borderId="19" xfId="52" applyNumberFormat="1" applyFont="1" applyFill="1" applyBorder="1"/>
    <xf numFmtId="165" fontId="39" fillId="0" borderId="19" xfId="28" applyNumberFormat="1" applyFont="1" applyBorder="1"/>
    <xf numFmtId="165" fontId="39" fillId="0" borderId="19" xfId="28" applyNumberFormat="1" applyFont="1" applyFill="1" applyBorder="1"/>
    <xf numFmtId="0" fontId="39" fillId="0" borderId="0" xfId="0" applyFont="1" applyAlignment="1">
      <alignment horizontal="left" wrapText="1"/>
    </xf>
    <xf numFmtId="174" fontId="39" fillId="0" borderId="19" xfId="52" applyNumberFormat="1" applyFont="1" applyBorder="1"/>
    <xf numFmtId="0" fontId="44" fillId="0" borderId="27" xfId="49" applyFont="1" applyBorder="1"/>
    <xf numFmtId="0" fontId="64" fillId="0" borderId="17" xfId="39" applyFont="1" applyBorder="1"/>
    <xf numFmtId="0" fontId="64" fillId="0" borderId="18" xfId="39" applyFont="1" applyBorder="1"/>
    <xf numFmtId="0" fontId="64" fillId="0" borderId="10" xfId="39" applyFont="1" applyBorder="1"/>
    <xf numFmtId="0" fontId="64" fillId="0" borderId="13" xfId="39" applyFont="1" applyBorder="1"/>
    <xf numFmtId="0" fontId="66" fillId="0" borderId="0" xfId="39" applyFont="1"/>
    <xf numFmtId="0" fontId="66" fillId="0" borderId="14" xfId="39" applyFont="1" applyBorder="1"/>
    <xf numFmtId="0" fontId="66" fillId="0" borderId="10" xfId="39" applyFont="1" applyBorder="1"/>
    <xf numFmtId="0" fontId="66" fillId="0" borderId="13" xfId="39" applyFont="1" applyBorder="1"/>
    <xf numFmtId="0" fontId="66" fillId="0" borderId="15" xfId="39" applyFont="1" applyBorder="1"/>
    <xf numFmtId="0" fontId="66" fillId="0" borderId="11" xfId="39" applyFont="1" applyBorder="1"/>
    <xf numFmtId="0" fontId="66" fillId="0" borderId="16" xfId="39" applyFont="1" applyBorder="1"/>
    <xf numFmtId="0" fontId="1" fillId="0" borderId="0" xfId="0" applyFont="1"/>
    <xf numFmtId="165" fontId="1"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1" fillId="25" borderId="0" xfId="0" applyFont="1" applyFill="1"/>
    <xf numFmtId="0" fontId="1" fillId="25" borderId="0" xfId="0" applyFont="1" applyFill="1" applyAlignment="1">
      <alignment horizontal="center"/>
    </xf>
    <xf numFmtId="165" fontId="1" fillId="25" borderId="0" xfId="0" applyNumberFormat="1" applyFont="1" applyFill="1" applyAlignment="1">
      <alignment horizontal="center"/>
    </xf>
    <xf numFmtId="0" fontId="19" fillId="0" borderId="0" xfId="0" applyFont="1"/>
    <xf numFmtId="165" fontId="19" fillId="0" borderId="0" xfId="0" applyNumberFormat="1" applyFont="1"/>
    <xf numFmtId="0" fontId="19" fillId="0" borderId="0" xfId="0" applyFont="1" applyAlignment="1">
      <alignment wrapText="1"/>
    </xf>
    <xf numFmtId="165" fontId="19" fillId="0" borderId="0" xfId="0" applyNumberFormat="1" applyFont="1" applyAlignment="1">
      <alignment wrapText="1"/>
    </xf>
    <xf numFmtId="165" fontId="19" fillId="0" borderId="0" xfId="0" applyNumberFormat="1" applyFont="1" applyAlignment="1">
      <alignment horizontal="justify"/>
    </xf>
    <xf numFmtId="165" fontId="19" fillId="0" borderId="0" xfId="0" applyNumberFormat="1" applyFont="1" applyAlignment="1">
      <alignment horizontal="right"/>
    </xf>
    <xf numFmtId="165" fontId="19" fillId="0" borderId="10" xfId="0" applyNumberFormat="1" applyFont="1" applyBorder="1"/>
    <xf numFmtId="0" fontId="67" fillId="0" borderId="0" xfId="40" applyFont="1" applyAlignment="1">
      <alignment horizontal="center" vertical="center" wrapText="1"/>
    </xf>
    <xf numFmtId="0" fontId="75" fillId="0" borderId="0" xfId="40" applyFont="1" applyAlignment="1">
      <alignment horizontal="center" vertical="center" wrapText="1"/>
    </xf>
    <xf numFmtId="0" fontId="19" fillId="0" borderId="0" xfId="0" applyFont="1" applyAlignment="1">
      <alignment horizontal="left" wrapText="1"/>
    </xf>
    <xf numFmtId="0" fontId="19" fillId="0" borderId="0" xfId="0" applyFont="1" applyAlignment="1">
      <alignment horizontal="justify"/>
    </xf>
    <xf numFmtId="0" fontId="19" fillId="0" borderId="0" xfId="0" applyFont="1" applyAlignment="1">
      <alignment horizontal="justify" wrapText="1"/>
    </xf>
    <xf numFmtId="0" fontId="5" fillId="0" borderId="0" xfId="0" applyFont="1" applyAlignment="1">
      <alignment horizontal="center" wrapText="1"/>
    </xf>
    <xf numFmtId="165" fontId="38" fillId="0" borderId="11" xfId="0" applyNumberFormat="1" applyFont="1" applyBorder="1"/>
    <xf numFmtId="165" fontId="38" fillId="0" borderId="0" xfId="0" applyNumberFormat="1" applyFont="1" applyAlignment="1">
      <alignment vertical="center"/>
    </xf>
    <xf numFmtId="165" fontId="38" fillId="35" borderId="0" xfId="0" applyNumberFormat="1" applyFont="1" applyFill="1" applyAlignment="1">
      <alignment horizontal="center"/>
    </xf>
    <xf numFmtId="165" fontId="38" fillId="0" borderId="11" xfId="0" applyNumberFormat="1" applyFont="1" applyBorder="1" applyAlignment="1">
      <alignment horizontal="right"/>
    </xf>
    <xf numFmtId="165" fontId="38" fillId="0" borderId="0" xfId="0" applyNumberFormat="1" applyFont="1" applyAlignment="1">
      <alignment horizontal="right" vertical="center"/>
    </xf>
    <xf numFmtId="165" fontId="38" fillId="35" borderId="11" xfId="0" applyNumberFormat="1" applyFont="1" applyFill="1" applyBorder="1" applyAlignment="1">
      <alignment horizontal="right" vertical="center"/>
    </xf>
    <xf numFmtId="165" fontId="38" fillId="0" borderId="0" xfId="0" applyNumberFormat="1" applyFont="1" applyAlignment="1">
      <alignment horizontal="center" vertical="center"/>
    </xf>
    <xf numFmtId="165" fontId="85" fillId="35" borderId="0" xfId="0" applyNumberFormat="1" applyFont="1" applyFill="1" applyAlignment="1">
      <alignment horizontal="right"/>
    </xf>
    <xf numFmtId="165" fontId="85" fillId="0" borderId="0" xfId="0" applyNumberFormat="1" applyFont="1" applyAlignment="1">
      <alignment horizontal="right"/>
    </xf>
    <xf numFmtId="165" fontId="39" fillId="37" borderId="0" xfId="0" applyNumberFormat="1" applyFont="1" applyFill="1" applyAlignment="1">
      <alignment horizontal="right"/>
    </xf>
    <xf numFmtId="0" fontId="64" fillId="0" borderId="0" xfId="39" applyFont="1" applyAlignment="1">
      <alignment vertical="top" wrapText="1"/>
    </xf>
    <xf numFmtId="0" fontId="61" fillId="0" borderId="19" xfId="39" applyFont="1" applyBorder="1" applyAlignment="1">
      <alignment horizontal="center" vertical="center" wrapText="1"/>
    </xf>
    <xf numFmtId="0" fontId="60" fillId="0" borderId="21" xfId="39" applyFont="1" applyBorder="1" applyAlignment="1">
      <alignment horizontal="left" vertical="center" wrapText="1"/>
    </xf>
    <xf numFmtId="49" fontId="60" fillId="0" borderId="21" xfId="39" applyNumberFormat="1" applyFont="1" applyBorder="1" applyAlignment="1">
      <alignment horizontal="left" vertical="center"/>
    </xf>
    <xf numFmtId="0" fontId="90" fillId="0" borderId="0" xfId="49" applyFont="1" applyAlignment="1">
      <alignment horizontal="center" wrapText="1"/>
    </xf>
    <xf numFmtId="0" fontId="39" fillId="32" borderId="22" xfId="49" applyFont="1" applyFill="1" applyBorder="1"/>
    <xf numFmtId="0" fontId="39" fillId="32" borderId="23" xfId="49" applyFont="1" applyFill="1" applyBorder="1"/>
    <xf numFmtId="0" fontId="39" fillId="32" borderId="21" xfId="49" applyFont="1" applyFill="1" applyBorder="1"/>
    <xf numFmtId="1" fontId="53" fillId="0" borderId="37" xfId="46" applyNumberFormat="1" applyFont="1" applyBorder="1" applyAlignment="1">
      <alignment horizontal="center"/>
    </xf>
    <xf numFmtId="0" fontId="47" fillId="0" borderId="37" xfId="49" applyFont="1" applyBorder="1" applyAlignment="1">
      <alignment horizontal="center" vertical="center"/>
    </xf>
    <xf numFmtId="2" fontId="53" fillId="0" borderId="11" xfId="46" applyNumberFormat="1" applyFont="1" applyBorder="1" applyAlignment="1">
      <alignment horizontal="center" vertical="center"/>
    </xf>
    <xf numFmtId="0" fontId="47" fillId="0" borderId="37" xfId="49" applyFont="1" applyBorder="1" applyAlignment="1">
      <alignment horizontal="center"/>
    </xf>
    <xf numFmtId="14" fontId="47" fillId="0" borderId="37" xfId="49" applyNumberFormat="1" applyFont="1" applyBorder="1" applyAlignment="1">
      <alignment horizontal="center"/>
    </xf>
    <xf numFmtId="1" fontId="53" fillId="0" borderId="0" xfId="46" applyNumberFormat="1" applyFont="1" applyAlignment="1">
      <alignment horizontal="center"/>
    </xf>
    <xf numFmtId="0" fontId="53" fillId="0" borderId="0" xfId="46" applyFont="1" applyAlignment="1">
      <alignment horizontal="center"/>
    </xf>
    <xf numFmtId="1" fontId="47" fillId="0" borderId="38" xfId="49" applyNumberFormat="1" applyFont="1" applyBorder="1" applyAlignment="1">
      <alignment horizontal="center"/>
    </xf>
    <xf numFmtId="0" fontId="47" fillId="0" borderId="38" xfId="49" applyFont="1" applyBorder="1" applyAlignment="1">
      <alignment horizontal="center"/>
    </xf>
    <xf numFmtId="1" fontId="53" fillId="0" borderId="0" xfId="46" applyNumberFormat="1" applyFont="1" applyAlignment="1">
      <alignment horizontal="center" vertical="center"/>
    </xf>
    <xf numFmtId="0" fontId="47" fillId="0" borderId="0" xfId="49" applyFont="1" applyAlignment="1">
      <alignment horizontal="center"/>
    </xf>
    <xf numFmtId="14" fontId="47" fillId="0" borderId="38" xfId="49" applyNumberFormat="1" applyFont="1" applyBorder="1" applyAlignment="1">
      <alignment horizontal="center"/>
    </xf>
    <xf numFmtId="14" fontId="47" fillId="0" borderId="0" xfId="49" applyNumberFormat="1" applyFont="1" applyAlignment="1">
      <alignment horizontal="center"/>
    </xf>
    <xf numFmtId="2" fontId="53" fillId="0" borderId="0" xfId="46" applyNumberFormat="1" applyFont="1" applyAlignment="1">
      <alignment horizontal="center" vertical="center"/>
    </xf>
    <xf numFmtId="0" fontId="47" fillId="0" borderId="37" xfId="49" applyFont="1" applyBorder="1"/>
    <xf numFmtId="0" fontId="53" fillId="0" borderId="37" xfId="46" applyFont="1" applyBorder="1" applyAlignment="1">
      <alignment horizontal="center"/>
    </xf>
    <xf numFmtId="0" fontId="47" fillId="0" borderId="0" xfId="49" applyFont="1" applyAlignment="1">
      <alignment horizontal="right"/>
    </xf>
    <xf numFmtId="0" fontId="47" fillId="33" borderId="0" xfId="49" applyFont="1" applyFill="1" applyAlignment="1">
      <alignment horizontal="center"/>
    </xf>
    <xf numFmtId="0" fontId="47" fillId="0" borderId="0" xfId="0" applyFont="1" applyAlignment="1">
      <alignment horizontal="right"/>
    </xf>
    <xf numFmtId="0" fontId="47" fillId="0" borderId="0" xfId="46" applyFont="1" applyAlignment="1">
      <alignment horizontal="right"/>
    </xf>
    <xf numFmtId="0" fontId="47" fillId="33" borderId="0" xfId="46" applyFont="1" applyFill="1" applyAlignment="1">
      <alignment horizontal="center" vertical="center"/>
    </xf>
    <xf numFmtId="10" fontId="47" fillId="33" borderId="0" xfId="0" applyNumberFormat="1" applyFont="1" applyFill="1" applyAlignment="1">
      <alignment horizontal="center" vertical="center"/>
    </xf>
    <xf numFmtId="0" fontId="47" fillId="33" borderId="0" xfId="50" applyNumberFormat="1" applyFont="1" applyFill="1" applyAlignment="1">
      <alignment horizontal="center" vertical="center"/>
    </xf>
    <xf numFmtId="0" fontId="47" fillId="33" borderId="0" xfId="0" applyFont="1" applyFill="1"/>
    <xf numFmtId="0" fontId="47" fillId="33" borderId="0" xfId="49" applyFont="1" applyFill="1"/>
    <xf numFmtId="0" fontId="47" fillId="0" borderId="0" xfId="49" applyFont="1"/>
    <xf numFmtId="169" fontId="41" fillId="0" borderId="32" xfId="49" applyNumberFormat="1" applyFont="1" applyBorder="1" applyAlignment="1">
      <alignment horizontal="right"/>
    </xf>
    <xf numFmtId="169" fontId="41" fillId="0" borderId="0" xfId="49" applyNumberFormat="1" applyFont="1" applyAlignment="1">
      <alignment horizontal="right"/>
    </xf>
    <xf numFmtId="0" fontId="39" fillId="31" borderId="22" xfId="49" applyFont="1" applyFill="1" applyBorder="1" applyAlignment="1">
      <alignment wrapText="1"/>
    </xf>
    <xf numFmtId="0" fontId="39" fillId="31" borderId="23" xfId="49" applyFont="1" applyFill="1" applyBorder="1" applyAlignment="1">
      <alignment wrapText="1"/>
    </xf>
    <xf numFmtId="0" fontId="39" fillId="31" borderId="21" xfId="49" applyFont="1" applyFill="1" applyBorder="1" applyAlignment="1">
      <alignment wrapText="1"/>
    </xf>
    <xf numFmtId="14" fontId="39" fillId="31" borderId="22" xfId="49" applyNumberFormat="1" applyFont="1" applyFill="1" applyBorder="1"/>
    <xf numFmtId="0" fontId="39" fillId="31" borderId="23" xfId="49" applyFont="1" applyFill="1" applyBorder="1"/>
    <xf numFmtId="0" fontId="39" fillId="31" borderId="21" xfId="49" applyFont="1" applyFill="1" applyBorder="1"/>
    <xf numFmtId="14" fontId="39" fillId="31" borderId="22" xfId="49" applyNumberFormat="1" applyFont="1" applyFill="1" applyBorder="1" applyAlignment="1">
      <alignment horizontal="center"/>
    </xf>
    <xf numFmtId="0" fontId="39" fillId="31" borderId="23" xfId="49" applyFont="1" applyFill="1" applyBorder="1" applyAlignment="1">
      <alignment horizontal="center"/>
    </xf>
    <xf numFmtId="0" fontId="39" fillId="31" borderId="21" xfId="49" applyFont="1" applyFill="1" applyBorder="1" applyAlignment="1">
      <alignment horizontal="center"/>
    </xf>
    <xf numFmtId="0" fontId="38" fillId="0" borderId="0" xfId="49" applyFont="1" applyAlignment="1">
      <alignment horizontal="center"/>
    </xf>
    <xf numFmtId="0" fontId="38" fillId="0" borderId="14" xfId="49" applyFont="1" applyBorder="1" applyAlignment="1">
      <alignment horizontal="center"/>
    </xf>
    <xf numFmtId="169" fontId="41" fillId="0" borderId="32" xfId="49" applyNumberFormat="1" applyFont="1" applyBorder="1" applyAlignment="1">
      <alignment horizontal="right" vertical="center"/>
    </xf>
    <xf numFmtId="169" fontId="41" fillId="0" borderId="0" xfId="49" applyNumberFormat="1" applyFont="1" applyAlignment="1">
      <alignment horizontal="right" vertical="center"/>
    </xf>
    <xf numFmtId="0" fontId="41" fillId="0" borderId="29" xfId="49" applyFont="1" applyBorder="1" applyAlignment="1">
      <alignment horizontal="center" vertical="center" wrapText="1"/>
    </xf>
    <xf numFmtId="0" fontId="41" fillId="0" borderId="30" xfId="49" applyFont="1" applyBorder="1" applyAlignment="1">
      <alignment horizontal="center" vertical="center" wrapText="1"/>
    </xf>
    <xf numFmtId="0" fontId="41" fillId="0" borderId="31" xfId="49" applyFont="1" applyBorder="1" applyAlignment="1">
      <alignment horizontal="center" vertical="center" wrapText="1"/>
    </xf>
    <xf numFmtId="169" fontId="51" fillId="24" borderId="0" xfId="49" applyNumberFormat="1" applyFont="1" applyFill="1" applyAlignment="1">
      <alignment horizontal="right" vertical="center"/>
    </xf>
    <xf numFmtId="0" fontId="44" fillId="24" borderId="24" xfId="49" applyFont="1" applyFill="1" applyBorder="1" applyAlignment="1">
      <alignment horizontal="center"/>
    </xf>
    <xf numFmtId="0" fontId="44" fillId="24" borderId="25" xfId="49" applyFont="1" applyFill="1" applyBorder="1" applyAlignment="1">
      <alignment horizontal="center"/>
    </xf>
    <xf numFmtId="0" fontId="44" fillId="24" borderId="26" xfId="49" applyFont="1" applyFill="1" applyBorder="1" applyAlignment="1">
      <alignment horizontal="center"/>
    </xf>
    <xf numFmtId="0" fontId="44" fillId="0" borderId="27" xfId="49" applyFont="1" applyBorder="1" applyAlignment="1">
      <alignment horizontal="center"/>
    </xf>
    <xf numFmtId="168" fontId="44" fillId="24" borderId="24" xfId="49" applyNumberFormat="1" applyFont="1" applyFill="1" applyBorder="1" applyAlignment="1">
      <alignment horizontal="center"/>
    </xf>
    <xf numFmtId="168" fontId="44" fillId="24" borderId="25" xfId="49" applyNumberFormat="1" applyFont="1" applyFill="1" applyBorder="1" applyAlignment="1">
      <alignment horizontal="center"/>
    </xf>
    <xf numFmtId="168" fontId="44" fillId="24" borderId="26" xfId="49" applyNumberFormat="1" applyFont="1" applyFill="1" applyBorder="1" applyAlignment="1">
      <alignment horizontal="center"/>
    </xf>
    <xf numFmtId="14" fontId="44" fillId="31" borderId="24" xfId="49" applyNumberFormat="1" applyFont="1" applyFill="1" applyBorder="1" applyAlignment="1">
      <alignment horizontal="center"/>
    </xf>
    <xf numFmtId="14" fontId="44" fillId="31" borderId="25" xfId="49" applyNumberFormat="1" applyFont="1" applyFill="1" applyBorder="1" applyAlignment="1">
      <alignment horizontal="center"/>
    </xf>
    <xf numFmtId="14" fontId="44" fillId="31" borderId="26" xfId="49" applyNumberFormat="1" applyFont="1" applyFill="1" applyBorder="1" applyAlignment="1">
      <alignment horizontal="center"/>
    </xf>
    <xf numFmtId="0" fontId="44" fillId="24" borderId="24" xfId="49" applyFont="1" applyFill="1" applyBorder="1" applyAlignment="1">
      <alignment horizontal="center" vertical="center"/>
    </xf>
    <xf numFmtId="0" fontId="44" fillId="24" borderId="25" xfId="49" applyFont="1" applyFill="1" applyBorder="1" applyAlignment="1">
      <alignment horizontal="center" vertical="center"/>
    </xf>
    <xf numFmtId="0" fontId="44" fillId="24" borderId="26" xfId="49" applyFont="1" applyFill="1" applyBorder="1" applyAlignment="1">
      <alignment horizontal="center" vertical="center"/>
    </xf>
    <xf numFmtId="165" fontId="44" fillId="24" borderId="0" xfId="49" applyNumberFormat="1" applyFont="1" applyFill="1" applyAlignment="1">
      <alignment horizontal="center"/>
    </xf>
    <xf numFmtId="0" fontId="41" fillId="0" borderId="0" xfId="49" applyFont="1"/>
    <xf numFmtId="0" fontId="39" fillId="0" borderId="0" xfId="49" applyFont="1"/>
    <xf numFmtId="0" fontId="46" fillId="0" borderId="0" xfId="49" applyFont="1" applyAlignment="1">
      <alignment horizontal="center"/>
    </xf>
    <xf numFmtId="9" fontId="44" fillId="24" borderId="0" xfId="49" applyNumberFormat="1" applyFont="1" applyFill="1" applyAlignment="1">
      <alignment horizontal="center"/>
    </xf>
    <xf numFmtId="0" fontId="44" fillId="24" borderId="0" xfId="49" applyFont="1" applyFill="1" applyAlignment="1">
      <alignment horizontal="center"/>
    </xf>
    <xf numFmtId="10" fontId="44" fillId="24" borderId="0" xfId="49" applyNumberFormat="1" applyFont="1" applyFill="1" applyAlignment="1">
      <alignment horizontal="center"/>
    </xf>
    <xf numFmtId="1" fontId="41" fillId="0" borderId="0" xfId="49" applyNumberFormat="1" applyFont="1" applyAlignment="1">
      <alignment horizontal="left"/>
    </xf>
    <xf numFmtId="0" fontId="41" fillId="0" borderId="0" xfId="49" applyFont="1" applyAlignment="1">
      <alignment horizontal="left"/>
    </xf>
    <xf numFmtId="167" fontId="44" fillId="24" borderId="0" xfId="49" applyNumberFormat="1" applyFont="1" applyFill="1" applyAlignment="1">
      <alignment horizontal="center"/>
    </xf>
    <xf numFmtId="9" fontId="44" fillId="24" borderId="0" xfId="49" applyNumberFormat="1" applyFont="1" applyFill="1" applyAlignment="1">
      <alignment horizontal="center" vertical="center" wrapText="1"/>
    </xf>
    <xf numFmtId="0" fontId="43" fillId="29" borderId="0" xfId="49" applyFont="1" applyFill="1" applyAlignment="1">
      <alignment horizontal="center" vertical="center" wrapText="1"/>
    </xf>
    <xf numFmtId="2" fontId="41" fillId="0" borderId="0" xfId="49" applyNumberFormat="1" applyFont="1"/>
    <xf numFmtId="10" fontId="44" fillId="24" borderId="24" xfId="49" applyNumberFormat="1" applyFont="1" applyFill="1" applyBorder="1" applyAlignment="1">
      <alignment horizontal="center"/>
    </xf>
    <xf numFmtId="10" fontId="44" fillId="24" borderId="25" xfId="49" applyNumberFormat="1" applyFont="1" applyFill="1" applyBorder="1" applyAlignment="1">
      <alignment horizontal="center"/>
    </xf>
    <xf numFmtId="10" fontId="44" fillId="24" borderId="26" xfId="49" applyNumberFormat="1" applyFont="1" applyFill="1" applyBorder="1" applyAlignment="1">
      <alignment horizontal="center"/>
    </xf>
    <xf numFmtId="0" fontId="41" fillId="0" borderId="27" xfId="49" applyFont="1" applyBorder="1" applyAlignment="1">
      <alignment horizontal="center"/>
    </xf>
    <xf numFmtId="10" fontId="44" fillId="31" borderId="24" xfId="49" applyNumberFormat="1" applyFont="1" applyFill="1" applyBorder="1" applyAlignment="1">
      <alignment horizontal="center"/>
    </xf>
    <xf numFmtId="10" fontId="44" fillId="31" borderId="25" xfId="49" applyNumberFormat="1" applyFont="1" applyFill="1" applyBorder="1" applyAlignment="1">
      <alignment horizontal="center"/>
    </xf>
    <xf numFmtId="10" fontId="44" fillId="31" borderId="26" xfId="49" applyNumberFormat="1" applyFont="1" applyFill="1" applyBorder="1" applyAlignment="1">
      <alignment horizontal="center"/>
    </xf>
    <xf numFmtId="0" fontId="45" fillId="30" borderId="0" xfId="49" applyFont="1" applyFill="1" applyAlignment="1">
      <alignment horizontal="center" vertical="center" wrapText="1"/>
    </xf>
    <xf numFmtId="0" fontId="41" fillId="0" borderId="0" xfId="49" applyFont="1" applyAlignment="1">
      <alignment horizontal="center"/>
    </xf>
    <xf numFmtId="0" fontId="44" fillId="0" borderId="27" xfId="49" applyFont="1" applyBorder="1" applyAlignment="1">
      <alignment horizontal="right"/>
    </xf>
    <xf numFmtId="0" fontId="49" fillId="0" borderId="27" xfId="49" applyFont="1" applyBorder="1"/>
    <xf numFmtId="0" fontId="44" fillId="0" borderId="27" xfId="49" applyFont="1" applyBorder="1"/>
    <xf numFmtId="14" fontId="47" fillId="0" borderId="10" xfId="49" applyNumberFormat="1" applyFont="1" applyBorder="1" applyAlignment="1">
      <alignment horizontal="center"/>
    </xf>
    <xf numFmtId="0" fontId="47" fillId="0" borderId="10" xfId="49" applyFont="1" applyBorder="1" applyAlignment="1">
      <alignment horizontal="center"/>
    </xf>
    <xf numFmtId="0" fontId="67" fillId="0" borderId="0" xfId="40" applyFont="1" applyAlignment="1">
      <alignment horizontal="center" vertical="center" wrapText="1"/>
    </xf>
    <xf numFmtId="0" fontId="77" fillId="0" borderId="0" xfId="40" applyFont="1" applyAlignment="1">
      <alignment horizontal="center"/>
    </xf>
    <xf numFmtId="0" fontId="60" fillId="25" borderId="0" xfId="40" applyFont="1" applyFill="1" applyAlignment="1">
      <alignment horizontal="center"/>
    </xf>
    <xf numFmtId="0" fontId="73" fillId="0" borderId="0" xfId="40" applyFont="1" applyAlignment="1">
      <alignment horizontal="center" wrapText="1"/>
    </xf>
    <xf numFmtId="0" fontId="75" fillId="0" borderId="0" xfId="40" applyFont="1" applyAlignment="1">
      <alignment horizontal="center" vertical="center" wrapText="1"/>
    </xf>
    <xf numFmtId="0" fontId="76" fillId="0" borderId="0" xfId="40" applyFont="1" applyAlignment="1">
      <alignment horizontal="center" vertical="center" wrapText="1"/>
    </xf>
    <xf numFmtId="0" fontId="74" fillId="0" borderId="0" xfId="40" applyFont="1" applyAlignment="1">
      <alignment horizontal="center" wrapText="1"/>
    </xf>
    <xf numFmtId="0" fontId="67" fillId="0" borderId="0" xfId="40" applyFont="1" applyAlignment="1">
      <alignment horizontal="center"/>
    </xf>
    <xf numFmtId="165" fontId="19" fillId="0" borderId="0" xfId="0" applyNumberFormat="1" applyFont="1" applyAlignment="1">
      <alignment horizontal="left" wrapText="1"/>
    </xf>
    <xf numFmtId="0" fontId="19" fillId="0" borderId="0" xfId="0" applyFont="1" applyAlignment="1">
      <alignment horizontal="left" wrapText="1"/>
    </xf>
    <xf numFmtId="0" fontId="19" fillId="0" borderId="0" xfId="0" applyFont="1" applyAlignment="1">
      <alignment horizontal="justify"/>
    </xf>
    <xf numFmtId="165" fontId="19" fillId="0" borderId="0" xfId="0" applyNumberFormat="1" applyFont="1" applyAlignment="1">
      <alignment horizontal="left" vertical="top" wrapText="1"/>
    </xf>
    <xf numFmtId="0" fontId="19" fillId="0" borderId="0" xfId="0" applyFont="1" applyAlignment="1">
      <alignment horizontal="justify" wrapText="1"/>
    </xf>
    <xf numFmtId="0" fontId="25" fillId="0" borderId="0" xfId="0" applyFont="1" applyAlignment="1">
      <alignment horizontal="center"/>
    </xf>
    <xf numFmtId="0" fontId="26"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xf>
    <xf numFmtId="165" fontId="39" fillId="0" borderId="0" xfId="0" applyNumberFormat="1" applyFont="1"/>
    <xf numFmtId="172" fontId="42" fillId="0" borderId="11" xfId="0" applyNumberFormat="1" applyFont="1" applyBorder="1"/>
    <xf numFmtId="165" fontId="38" fillId="35" borderId="0" xfId="0" applyNumberFormat="1" applyFont="1" applyFill="1" applyAlignment="1">
      <alignment horizontal="right"/>
    </xf>
    <xf numFmtId="165" fontId="38" fillId="35" borderId="0" xfId="0" applyNumberFormat="1" applyFont="1" applyFill="1"/>
    <xf numFmtId="6" fontId="38" fillId="0" borderId="0" xfId="0" applyNumberFormat="1" applyFont="1"/>
    <xf numFmtId="6" fontId="38" fillId="0" borderId="11" xfId="0" applyNumberFormat="1" applyFont="1" applyBorder="1" applyAlignment="1">
      <alignment horizontal="right"/>
    </xf>
    <xf numFmtId="6" fontId="39" fillId="0" borderId="11" xfId="0" applyNumberFormat="1" applyFont="1" applyBorder="1" applyAlignment="1">
      <alignment horizontal="right"/>
    </xf>
    <xf numFmtId="6" fontId="39" fillId="0" borderId="0" xfId="0" applyNumberFormat="1" applyFont="1"/>
    <xf numFmtId="165" fontId="38" fillId="35" borderId="11" xfId="0" applyNumberFormat="1" applyFont="1" applyFill="1" applyBorder="1"/>
    <xf numFmtId="165" fontId="38" fillId="35" borderId="0" xfId="0" applyNumberFormat="1" applyFont="1" applyFill="1" applyAlignment="1">
      <alignment vertical="center"/>
    </xf>
    <xf numFmtId="165" fontId="38" fillId="0" borderId="11" xfId="0" applyNumberFormat="1" applyFont="1" applyBorder="1"/>
    <xf numFmtId="165" fontId="38" fillId="0" borderId="0" xfId="0" applyNumberFormat="1" applyFont="1" applyAlignment="1">
      <alignment vertical="center"/>
    </xf>
    <xf numFmtId="165" fontId="39" fillId="0" borderId="10" xfId="0" applyNumberFormat="1" applyFont="1" applyBorder="1"/>
    <xf numFmtId="165" fontId="38" fillId="0" borderId="0" xfId="0" applyNumberFormat="1" applyFont="1"/>
    <xf numFmtId="165" fontId="38" fillId="38" borderId="0" xfId="0" applyNumberFormat="1" applyFont="1" applyFill="1"/>
    <xf numFmtId="165" fontId="39" fillId="0" borderId="0" xfId="0" applyNumberFormat="1" applyFont="1" applyAlignment="1">
      <alignment horizontal="right"/>
    </xf>
    <xf numFmtId="165" fontId="39" fillId="0" borderId="0" xfId="0" applyNumberFormat="1" applyFont="1" applyAlignment="1">
      <alignment horizontal="center"/>
    </xf>
    <xf numFmtId="165" fontId="39" fillId="0" borderId="10" xfId="0" applyNumberFormat="1" applyFont="1" applyBorder="1" applyAlignment="1">
      <alignment horizontal="center" vertical="center" wrapText="1"/>
    </xf>
    <xf numFmtId="165" fontId="39" fillId="0" borderId="10" xfId="0" applyNumberFormat="1" applyFont="1" applyBorder="1" applyAlignment="1">
      <alignment vertical="center" wrapText="1"/>
    </xf>
    <xf numFmtId="165" fontId="38" fillId="0" borderId="10" xfId="0" applyNumberFormat="1" applyFont="1" applyBorder="1" applyAlignment="1">
      <alignment vertical="center" wrapText="1"/>
    </xf>
    <xf numFmtId="165" fontId="39" fillId="35" borderId="0" xfId="0" applyNumberFormat="1" applyFont="1" applyFill="1" applyAlignment="1">
      <alignment horizontal="center"/>
    </xf>
    <xf numFmtId="0" fontId="95" fillId="0" borderId="0" xfId="0" applyFont="1" applyAlignment="1">
      <alignment horizontal="center"/>
    </xf>
    <xf numFmtId="165" fontId="95" fillId="0" borderId="0" xfId="0" applyNumberFormat="1" applyFont="1" applyAlignment="1">
      <alignment horizontal="center"/>
    </xf>
    <xf numFmtId="0" fontId="89" fillId="0" borderId="0" xfId="0" applyFont="1" applyAlignment="1">
      <alignment horizontal="center"/>
    </xf>
    <xf numFmtId="165" fontId="89" fillId="0" borderId="0" xfId="0" applyNumberFormat="1" applyFont="1" applyAlignment="1">
      <alignment horizontal="center"/>
    </xf>
    <xf numFmtId="0" fontId="57" fillId="33" borderId="0" xfId="0" applyFont="1" applyFill="1" applyAlignment="1">
      <alignment horizontal="center" vertical="center" wrapText="1"/>
    </xf>
    <xf numFmtId="165" fontId="57" fillId="33" borderId="0" xfId="0" applyNumberFormat="1" applyFont="1" applyFill="1" applyAlignment="1">
      <alignment horizontal="center" vertical="center" wrapText="1"/>
    </xf>
    <xf numFmtId="0" fontId="39" fillId="33" borderId="0" xfId="0" applyFont="1" applyFill="1" applyAlignment="1">
      <alignment horizontal="center"/>
    </xf>
    <xf numFmtId="165" fontId="39" fillId="33" borderId="0" xfId="0" applyNumberFormat="1" applyFont="1" applyFill="1" applyAlignment="1">
      <alignment horizontal="center"/>
    </xf>
    <xf numFmtId="0" fontId="91" fillId="0" borderId="17" xfId="0" applyFont="1" applyBorder="1" applyAlignment="1">
      <alignment horizontal="center"/>
    </xf>
    <xf numFmtId="0" fontId="91" fillId="0" borderId="0" xfId="0" applyFont="1" applyAlignment="1">
      <alignment horizontal="center"/>
    </xf>
    <xf numFmtId="0" fontId="91" fillId="0" borderId="14" xfId="0" applyFont="1" applyBorder="1" applyAlignment="1">
      <alignment horizontal="center"/>
    </xf>
    <xf numFmtId="165" fontId="38" fillId="36" borderId="0" xfId="0" applyNumberFormat="1" applyFont="1" applyFill="1" applyAlignment="1">
      <alignment horizontal="center"/>
    </xf>
    <xf numFmtId="165" fontId="39" fillId="36" borderId="0" xfId="0" applyNumberFormat="1" applyFont="1" applyFill="1" applyAlignment="1">
      <alignment horizontal="center" vertical="center" wrapText="1"/>
    </xf>
    <xf numFmtId="165" fontId="38" fillId="37" borderId="0" xfId="0" applyNumberFormat="1" applyFont="1" applyFill="1" applyAlignment="1">
      <alignment horizontal="center"/>
    </xf>
    <xf numFmtId="165" fontId="39" fillId="37" borderId="0" xfId="0" applyNumberFormat="1" applyFont="1" applyFill="1" applyAlignment="1">
      <alignment horizontal="center" vertical="center" wrapText="1"/>
    </xf>
    <xf numFmtId="165" fontId="38" fillId="35" borderId="0" xfId="0" applyNumberFormat="1" applyFont="1" applyFill="1" applyAlignment="1">
      <alignment horizontal="center"/>
    </xf>
    <xf numFmtId="165" fontId="38" fillId="35" borderId="11" xfId="0" applyNumberFormat="1" applyFont="1" applyFill="1" applyBorder="1" applyAlignment="1">
      <alignment horizontal="right"/>
    </xf>
    <xf numFmtId="165" fontId="38" fillId="0" borderId="11" xfId="0" applyNumberFormat="1" applyFont="1" applyBorder="1" applyAlignment="1">
      <alignment horizontal="right"/>
    </xf>
    <xf numFmtId="165" fontId="39" fillId="0" borderId="10" xfId="0" applyNumberFormat="1" applyFont="1" applyBorder="1" applyAlignment="1">
      <alignment horizontal="right"/>
    </xf>
    <xf numFmtId="165" fontId="39" fillId="0" borderId="11" xfId="0" applyNumberFormat="1" applyFont="1" applyBorder="1" applyAlignment="1">
      <alignment horizontal="right"/>
    </xf>
    <xf numFmtId="165" fontId="38" fillId="0" borderId="0" xfId="0" applyNumberFormat="1" applyFont="1" applyAlignment="1">
      <alignment horizontal="right" vertical="center"/>
    </xf>
    <xf numFmtId="165" fontId="39" fillId="26" borderId="0" xfId="0" applyNumberFormat="1" applyFont="1" applyFill="1" applyAlignment="1">
      <alignment horizontal="center"/>
    </xf>
    <xf numFmtId="165" fontId="39" fillId="0" borderId="10" xfId="0" applyNumberFormat="1" applyFont="1" applyBorder="1" applyAlignment="1">
      <alignment horizontal="right" vertical="center" wrapText="1"/>
    </xf>
    <xf numFmtId="165" fontId="38" fillId="0" borderId="10" xfId="0" applyNumberFormat="1" applyFont="1" applyBorder="1" applyAlignment="1">
      <alignment horizontal="right" vertical="center" wrapText="1"/>
    </xf>
    <xf numFmtId="0" fontId="91" fillId="0" borderId="15" xfId="0" applyFont="1" applyBorder="1"/>
    <xf numFmtId="0" fontId="91" fillId="0" borderId="11" xfId="0" applyFont="1" applyBorder="1"/>
    <xf numFmtId="0" fontId="91" fillId="0" borderId="16" xfId="0" applyFont="1" applyBorder="1"/>
    <xf numFmtId="0" fontId="39" fillId="0" borderId="10" xfId="0" applyFont="1" applyBorder="1"/>
    <xf numFmtId="0" fontId="39" fillId="0" borderId="0" xfId="0" applyFont="1"/>
    <xf numFmtId="165" fontId="38" fillId="0" borderId="0" xfId="0" applyNumberFormat="1" applyFont="1" applyAlignment="1">
      <alignment horizontal="right"/>
    </xf>
    <xf numFmtId="165" fontId="38" fillId="35" borderId="11" xfId="0" applyNumberFormat="1" applyFont="1" applyFill="1" applyBorder="1" applyAlignment="1">
      <alignment horizontal="right" vertical="center"/>
    </xf>
    <xf numFmtId="165" fontId="38" fillId="35" borderId="0" xfId="0" applyNumberFormat="1" applyFont="1" applyFill="1" applyAlignment="1">
      <alignment horizontal="right" vertical="center"/>
    </xf>
    <xf numFmtId="165" fontId="39" fillId="0" borderId="11" xfId="0" applyNumberFormat="1" applyFont="1" applyBorder="1"/>
    <xf numFmtId="0" fontId="91" fillId="0" borderId="15" xfId="0" applyFont="1" applyBorder="1" applyAlignment="1">
      <alignment horizontal="center"/>
    </xf>
    <xf numFmtId="0" fontId="91" fillId="0" borderId="11" xfId="0" applyFont="1" applyBorder="1" applyAlignment="1">
      <alignment horizontal="center"/>
    </xf>
    <xf numFmtId="0" fontId="91" fillId="0" borderId="16" xfId="0" applyFont="1" applyBorder="1" applyAlignment="1">
      <alignment horizontal="center"/>
    </xf>
    <xf numFmtId="165" fontId="38" fillId="0" borderId="10" xfId="0" applyNumberFormat="1" applyFont="1" applyBorder="1" applyAlignment="1">
      <alignment horizontal="right"/>
    </xf>
    <xf numFmtId="165" fontId="45" fillId="0" borderId="0" xfId="0" applyNumberFormat="1" applyFont="1" applyAlignment="1">
      <alignment horizontal="right" vertical="center"/>
    </xf>
    <xf numFmtId="165" fontId="38" fillId="0" borderId="11" xfId="0" applyNumberFormat="1" applyFont="1" applyBorder="1" applyAlignment="1">
      <alignment horizontal="right" vertical="center"/>
    </xf>
    <xf numFmtId="165" fontId="38" fillId="0" borderId="10" xfId="0" applyNumberFormat="1" applyFont="1" applyBorder="1" applyAlignment="1">
      <alignment horizontal="center" vertical="center" wrapText="1"/>
    </xf>
    <xf numFmtId="165" fontId="45" fillId="0" borderId="0" xfId="0" applyNumberFormat="1" applyFont="1" applyAlignment="1">
      <alignment horizontal="center" vertical="center"/>
    </xf>
    <xf numFmtId="165" fontId="38" fillId="0" borderId="0" xfId="0" applyNumberFormat="1" applyFont="1" applyAlignment="1">
      <alignment horizontal="center" vertical="center"/>
    </xf>
    <xf numFmtId="165" fontId="85" fillId="35" borderId="0" xfId="0" applyNumberFormat="1" applyFont="1" applyFill="1" applyAlignment="1">
      <alignment horizontal="right"/>
    </xf>
    <xf numFmtId="165" fontId="85" fillId="0" borderId="0" xfId="0" applyNumberFormat="1" applyFont="1" applyAlignment="1">
      <alignment horizontal="right"/>
    </xf>
    <xf numFmtId="165" fontId="39" fillId="42" borderId="0" xfId="0" applyNumberFormat="1" applyFont="1" applyFill="1"/>
    <xf numFmtId="165" fontId="38" fillId="42" borderId="0" xfId="0" applyNumberFormat="1" applyFont="1" applyFill="1" applyAlignment="1">
      <alignment horizontal="right"/>
    </xf>
    <xf numFmtId="165" fontId="39" fillId="42" borderId="0" xfId="0" applyNumberFormat="1" applyFont="1" applyFill="1" applyAlignment="1">
      <alignment horizontal="right"/>
    </xf>
    <xf numFmtId="165" fontId="39" fillId="37" borderId="0" xfId="0" applyNumberFormat="1" applyFont="1" applyFill="1"/>
    <xf numFmtId="165" fontId="39" fillId="37" borderId="0" xfId="0" applyNumberFormat="1" applyFont="1" applyFill="1" applyAlignment="1">
      <alignment horizontal="right"/>
    </xf>
    <xf numFmtId="165" fontId="38" fillId="37" borderId="0" xfId="0" applyNumberFormat="1" applyFont="1" applyFill="1" applyAlignment="1">
      <alignment horizontal="right"/>
    </xf>
    <xf numFmtId="165" fontId="38" fillId="42" borderId="11" xfId="0" applyNumberFormat="1" applyFont="1" applyFill="1" applyBorder="1" applyAlignment="1">
      <alignment horizontal="right"/>
    </xf>
    <xf numFmtId="165" fontId="38" fillId="39" borderId="0" xfId="0" applyNumberFormat="1" applyFont="1" applyFill="1" applyAlignment="1">
      <alignment horizontal="center" vertical="center" wrapText="1"/>
    </xf>
    <xf numFmtId="165" fontId="38" fillId="39" borderId="0" xfId="0" applyNumberFormat="1" applyFont="1" applyFill="1" applyAlignment="1">
      <alignment horizontal="left" vertical="center" wrapText="1"/>
    </xf>
    <xf numFmtId="165" fontId="39" fillId="39" borderId="0" xfId="0" applyNumberFormat="1" applyFont="1" applyFill="1" applyAlignment="1">
      <alignment horizontal="left" vertical="center" wrapText="1"/>
    </xf>
    <xf numFmtId="0" fontId="54" fillId="0" borderId="0" xfId="0" applyFont="1" applyAlignment="1">
      <alignment horizontal="center"/>
    </xf>
    <xf numFmtId="0" fontId="55" fillId="0" borderId="0" xfId="0" applyFont="1" applyAlignment="1">
      <alignment horizontal="center"/>
    </xf>
    <xf numFmtId="0" fontId="82" fillId="0" borderId="0" xfId="0" applyFont="1" applyAlignment="1">
      <alignment horizontal="center" wrapText="1"/>
    </xf>
    <xf numFmtId="0" fontId="39" fillId="0" borderId="0" xfId="0" applyFont="1" applyAlignment="1">
      <alignment horizontal="center"/>
    </xf>
    <xf numFmtId="165" fontId="38" fillId="0" borderId="10" xfId="0" applyNumberFormat="1" applyFont="1" applyBorder="1" applyAlignment="1">
      <alignment horizontal="center" vertical="center"/>
    </xf>
    <xf numFmtId="165" fontId="38" fillId="0" borderId="10" xfId="0" applyNumberFormat="1" applyFont="1" applyBorder="1" applyAlignment="1">
      <alignment horizontal="center"/>
    </xf>
    <xf numFmtId="165" fontId="38" fillId="0" borderId="44" xfId="0" applyNumberFormat="1" applyFont="1" applyBorder="1" applyAlignment="1">
      <alignment horizontal="center" vertical="center"/>
    </xf>
    <xf numFmtId="165" fontId="38" fillId="0" borderId="45" xfId="0" applyNumberFormat="1" applyFont="1" applyBorder="1" applyAlignment="1">
      <alignment horizontal="center" vertical="center"/>
    </xf>
    <xf numFmtId="165" fontId="38" fillId="0" borderId="46" xfId="0" applyNumberFormat="1" applyFont="1" applyBorder="1" applyAlignment="1">
      <alignment horizontal="center" vertical="center"/>
    </xf>
    <xf numFmtId="0" fontId="64" fillId="0" borderId="15" xfId="39" applyFont="1" applyBorder="1" applyAlignment="1">
      <alignment vertical="top"/>
    </xf>
    <xf numFmtId="0" fontId="64" fillId="0" borderId="11" xfId="39" applyFont="1" applyBorder="1" applyAlignment="1">
      <alignment vertical="top"/>
    </xf>
    <xf numFmtId="0" fontId="64" fillId="0" borderId="16" xfId="39" applyFont="1" applyBorder="1" applyAlignment="1">
      <alignment vertical="top"/>
    </xf>
    <xf numFmtId="0" fontId="66" fillId="0" borderId="18" xfId="39" applyFont="1" applyBorder="1" applyAlignment="1">
      <alignment horizontal="left" vertical="center" wrapText="1"/>
    </xf>
    <xf numFmtId="0" fontId="66" fillId="0" borderId="10" xfId="39" applyFont="1" applyBorder="1" applyAlignment="1">
      <alignment horizontal="left" vertical="center" wrapText="1"/>
    </xf>
    <xf numFmtId="0" fontId="66" fillId="0" borderId="13" xfId="39" applyFont="1" applyBorder="1" applyAlignment="1">
      <alignment horizontal="left" vertical="center" wrapText="1"/>
    </xf>
    <xf numFmtId="0" fontId="64" fillId="0" borderId="17" xfId="39" applyFont="1" applyBorder="1"/>
    <xf numFmtId="0" fontId="64" fillId="0" borderId="0" xfId="39" applyFont="1"/>
    <xf numFmtId="0" fontId="64" fillId="0" borderId="14" xfId="39" applyFont="1" applyBorder="1"/>
    <xf numFmtId="0" fontId="64" fillId="0" borderId="18" xfId="39" applyFont="1" applyBorder="1"/>
    <xf numFmtId="0" fontId="64" fillId="0" borderId="10" xfId="39" applyFont="1" applyBorder="1"/>
    <xf numFmtId="0" fontId="64" fillId="0" borderId="13" xfId="39" applyFont="1" applyBorder="1"/>
    <xf numFmtId="0" fontId="66" fillId="0" borderId="17" xfId="39" applyFont="1" applyBorder="1"/>
    <xf numFmtId="0" fontId="66" fillId="0" borderId="0" xfId="39" applyFont="1"/>
    <xf numFmtId="0" fontId="66" fillId="0" borderId="14" xfId="39" applyFont="1" applyBorder="1"/>
    <xf numFmtId="0" fontId="66" fillId="0" borderId="18" xfId="39" applyFont="1" applyBorder="1"/>
    <xf numFmtId="0" fontId="66" fillId="0" borderId="10" xfId="39" applyFont="1" applyBorder="1"/>
    <xf numFmtId="0" fontId="66" fillId="0" borderId="13" xfId="39" applyFont="1" applyBorder="1"/>
    <xf numFmtId="0" fontId="4" fillId="24" borderId="18" xfId="35" applyFill="1" applyBorder="1" applyAlignment="1" applyProtection="1"/>
    <xf numFmtId="0" fontId="64" fillId="24" borderId="10" xfId="39" applyFont="1" applyFill="1" applyBorder="1"/>
    <xf numFmtId="0" fontId="64" fillId="24" borderId="13" xfId="39" applyFont="1" applyFill="1" applyBorder="1"/>
    <xf numFmtId="0" fontId="66" fillId="0" borderId="15" xfId="39" applyFont="1" applyBorder="1"/>
    <xf numFmtId="0" fontId="66" fillId="0" borderId="11" xfId="39" applyFont="1" applyBorder="1"/>
    <xf numFmtId="0" fontId="66" fillId="0" borderId="16" xfId="39" applyFont="1" applyBorder="1"/>
    <xf numFmtId="0" fontId="66" fillId="0" borderId="22" xfId="39" applyFont="1" applyBorder="1"/>
    <xf numFmtId="0" fontId="66" fillId="0" borderId="23" xfId="39" applyFont="1" applyBorder="1"/>
    <xf numFmtId="0" fontId="66" fillId="0" borderId="21" xfId="39" applyFont="1" applyBorder="1"/>
    <xf numFmtId="0" fontId="64" fillId="0" borderId="18" xfId="39" quotePrefix="1" applyFont="1" applyBorder="1"/>
    <xf numFmtId="0" fontId="64" fillId="0" borderId="17" xfId="39" applyFont="1" applyBorder="1" applyAlignment="1">
      <alignment vertical="top"/>
    </xf>
    <xf numFmtId="0" fontId="64" fillId="0" borderId="0" xfId="39" applyFont="1" applyAlignment="1">
      <alignment vertical="top"/>
    </xf>
    <xf numFmtId="0" fontId="64" fillId="0" borderId="14" xfId="39" applyFont="1" applyBorder="1" applyAlignment="1">
      <alignment vertical="top"/>
    </xf>
    <xf numFmtId="0" fontId="66" fillId="0" borderId="15" xfId="39" applyFont="1" applyBorder="1" applyAlignment="1">
      <alignment vertical="top"/>
    </xf>
    <xf numFmtId="0" fontId="66" fillId="0" borderId="11" xfId="39" applyFont="1" applyBorder="1" applyAlignment="1">
      <alignment vertical="top"/>
    </xf>
    <xf numFmtId="0" fontId="66" fillId="0" borderId="16" xfId="39" applyFont="1" applyBorder="1" applyAlignment="1">
      <alignment vertical="top"/>
    </xf>
    <xf numFmtId="0" fontId="66" fillId="0" borderId="18" xfId="39" applyFont="1" applyBorder="1" applyAlignment="1">
      <alignment horizontal="left" vertical="center"/>
    </xf>
    <xf numFmtId="0" fontId="66" fillId="0" borderId="10" xfId="39" applyFont="1" applyBorder="1" applyAlignment="1">
      <alignment horizontal="left" vertical="center"/>
    </xf>
    <xf numFmtId="0" fontId="66" fillId="0" borderId="23" xfId="39" applyFont="1" applyBorder="1" applyAlignment="1">
      <alignment horizontal="left" vertical="center"/>
    </xf>
    <xf numFmtId="0" fontId="66" fillId="0" borderId="21" xfId="39" applyFont="1" applyBorder="1" applyAlignment="1">
      <alignment horizontal="left" vertical="center"/>
    </xf>
    <xf numFmtId="0" fontId="64" fillId="24" borderId="0" xfId="39" applyFont="1" applyFill="1" applyAlignment="1">
      <alignment horizontal="center" vertical="center" wrapText="1"/>
    </xf>
    <xf numFmtId="0" fontId="64" fillId="24" borderId="14" xfId="39" applyFont="1" applyFill="1" applyBorder="1" applyAlignment="1">
      <alignment horizontal="center" vertical="center" wrapText="1"/>
    </xf>
    <xf numFmtId="0" fontId="66" fillId="0" borderId="17" xfId="39" applyFont="1" applyBorder="1" applyAlignment="1">
      <alignment vertical="top"/>
    </xf>
    <xf numFmtId="0" fontId="66" fillId="0" borderId="0" xfId="39" applyFont="1" applyAlignment="1">
      <alignment vertical="top"/>
    </xf>
    <xf numFmtId="0" fontId="66" fillId="0" borderId="14" xfId="39" applyFont="1" applyBorder="1" applyAlignment="1">
      <alignment vertical="top"/>
    </xf>
    <xf numFmtId="0" fontId="64" fillId="0" borderId="17" xfId="39" applyFont="1" applyBorder="1" applyAlignment="1">
      <alignment horizontal="left" vertical="center" wrapText="1"/>
    </xf>
    <xf numFmtId="0" fontId="64" fillId="0" borderId="0" xfId="39" applyFont="1" applyAlignment="1">
      <alignment horizontal="left" vertical="center" wrapText="1"/>
    </xf>
    <xf numFmtId="0" fontId="64" fillId="0" borderId="14" xfId="39" applyFont="1" applyBorder="1" applyAlignment="1">
      <alignment horizontal="left" vertical="center" wrapText="1"/>
    </xf>
    <xf numFmtId="0" fontId="64" fillId="0" borderId="18" xfId="39" applyFont="1" applyBorder="1" applyAlignment="1">
      <alignment vertical="top"/>
    </xf>
    <xf numFmtId="0" fontId="64" fillId="0" borderId="10" xfId="39" applyFont="1" applyBorder="1" applyAlignment="1">
      <alignment vertical="top"/>
    </xf>
    <xf numFmtId="0" fontId="64" fillId="0" borderId="13" xfId="39" applyFont="1" applyBorder="1" applyAlignment="1">
      <alignment vertical="top"/>
    </xf>
    <xf numFmtId="0" fontId="68" fillId="0" borderId="15" xfId="39" applyFont="1" applyBorder="1" applyAlignment="1">
      <alignment vertical="top" wrapText="1"/>
    </xf>
    <xf numFmtId="0" fontId="68" fillId="0" borderId="11" xfId="39" applyFont="1" applyBorder="1" applyAlignment="1">
      <alignment vertical="top" wrapText="1"/>
    </xf>
    <xf numFmtId="0" fontId="68" fillId="0" borderId="16" xfId="39" applyFont="1" applyBorder="1" applyAlignment="1">
      <alignment vertical="top" wrapText="1"/>
    </xf>
    <xf numFmtId="0" fontId="64" fillId="0" borderId="15" xfId="39" applyFont="1" applyBorder="1"/>
    <xf numFmtId="0" fontId="64" fillId="0" borderId="11" xfId="39" applyFont="1" applyBorder="1"/>
    <xf numFmtId="0" fontId="64" fillId="0" borderId="16" xfId="39" applyFont="1" applyBorder="1"/>
    <xf numFmtId="0" fontId="64" fillId="0" borderId="18" xfId="39" applyFont="1" applyBorder="1" applyAlignment="1">
      <alignment horizontal="left"/>
    </xf>
    <xf numFmtId="0" fontId="64" fillId="0" borderId="10" xfId="39" applyFont="1" applyBorder="1" applyAlignment="1">
      <alignment horizontal="left"/>
    </xf>
    <xf numFmtId="0" fontId="64" fillId="0" borderId="13" xfId="39" applyFont="1" applyBorder="1" applyAlignment="1">
      <alignment horizontal="left"/>
    </xf>
    <xf numFmtId="0" fontId="65" fillId="0" borderId="0" xfId="39" applyFont="1" applyAlignment="1">
      <alignment horizontal="left" vertical="center" wrapText="1"/>
    </xf>
    <xf numFmtId="0" fontId="65" fillId="0" borderId="10" xfId="39" applyFont="1" applyBorder="1" applyAlignment="1">
      <alignment horizontal="left" vertical="center" wrapText="1"/>
    </xf>
    <xf numFmtId="0" fontId="64" fillId="0" borderId="22" xfId="39" applyFont="1" applyBorder="1" applyAlignment="1">
      <alignment horizontal="center"/>
    </xf>
    <xf numFmtId="0" fontId="64" fillId="0" borderId="21" xfId="39" applyFont="1" applyBorder="1" applyAlignment="1">
      <alignment horizontal="center"/>
    </xf>
    <xf numFmtId="0" fontId="64" fillId="33" borderId="22" xfId="39" applyFont="1" applyFill="1" applyBorder="1" applyAlignment="1">
      <alignment horizontal="center" vertical="center"/>
    </xf>
    <xf numFmtId="0" fontId="64" fillId="33" borderId="23" xfId="39" applyFont="1" applyFill="1" applyBorder="1" applyAlignment="1">
      <alignment horizontal="center" vertical="center"/>
    </xf>
    <xf numFmtId="0" fontId="64" fillId="33" borderId="21" xfId="39" applyFont="1" applyFill="1" applyBorder="1" applyAlignment="1">
      <alignment horizontal="center" vertical="center"/>
    </xf>
    <xf numFmtId="0" fontId="64" fillId="24" borderId="17" xfId="39" applyFont="1" applyFill="1" applyBorder="1" applyAlignment="1">
      <alignment horizontal="center" vertical="center" wrapText="1"/>
    </xf>
    <xf numFmtId="0" fontId="68" fillId="24" borderId="18" xfId="39" applyFont="1" applyFill="1" applyBorder="1" applyAlignment="1">
      <alignment vertical="top" wrapText="1"/>
    </xf>
    <xf numFmtId="0" fontId="68" fillId="24" borderId="10" xfId="39" applyFont="1" applyFill="1" applyBorder="1" applyAlignment="1">
      <alignment vertical="top" wrapText="1"/>
    </xf>
    <xf numFmtId="0" fontId="68" fillId="24" borderId="13" xfId="39" applyFont="1" applyFill="1" applyBorder="1" applyAlignment="1">
      <alignment vertical="top" wrapText="1"/>
    </xf>
    <xf numFmtId="0" fontId="64" fillId="0" borderId="22" xfId="39" applyFont="1" applyBorder="1"/>
    <xf numFmtId="0" fontId="64" fillId="0" borderId="23" xfId="39" applyFont="1" applyBorder="1"/>
    <xf numFmtId="0" fontId="64" fillId="0" borderId="21" xfId="39" applyFont="1" applyBorder="1"/>
    <xf numFmtId="0" fontId="66" fillId="24" borderId="17" xfId="39" applyFont="1" applyFill="1" applyBorder="1" applyAlignment="1">
      <alignment vertical="top" wrapText="1"/>
    </xf>
    <xf numFmtId="0" fontId="66" fillId="24" borderId="0" xfId="39" applyFont="1" applyFill="1" applyAlignment="1">
      <alignment vertical="top" wrapText="1"/>
    </xf>
    <xf numFmtId="0" fontId="66" fillId="24" borderId="14" xfId="39" applyFont="1" applyFill="1" applyBorder="1" applyAlignment="1">
      <alignment vertical="top" wrapText="1"/>
    </xf>
    <xf numFmtId="0" fontId="66" fillId="24" borderId="18" xfId="39" applyFont="1" applyFill="1" applyBorder="1" applyAlignment="1">
      <alignment vertical="top" wrapText="1"/>
    </xf>
    <xf numFmtId="0" fontId="66" fillId="24" borderId="10" xfId="39" applyFont="1" applyFill="1" applyBorder="1" applyAlignment="1">
      <alignment vertical="top" wrapText="1"/>
    </xf>
    <xf numFmtId="0" fontId="66" fillId="24" borderId="13" xfId="39" applyFont="1" applyFill="1" applyBorder="1" applyAlignment="1">
      <alignment vertical="top" wrapText="1"/>
    </xf>
    <xf numFmtId="0" fontId="64" fillId="24" borderId="22" xfId="39" applyFont="1" applyFill="1" applyBorder="1"/>
    <xf numFmtId="0" fontId="64" fillId="24" borderId="23" xfId="39" applyFont="1" applyFill="1" applyBorder="1"/>
    <xf numFmtId="0" fontId="64" fillId="24" borderId="21" xfId="39" applyFont="1" applyFill="1" applyBorder="1"/>
    <xf numFmtId="165" fontId="60" fillId="33" borderId="15" xfId="39" applyNumberFormat="1" applyFont="1" applyFill="1" applyBorder="1"/>
    <xf numFmtId="165" fontId="60" fillId="33" borderId="11" xfId="39" applyNumberFormat="1" applyFont="1" applyFill="1" applyBorder="1"/>
    <xf numFmtId="165" fontId="60" fillId="33" borderId="16" xfId="39" applyNumberFormat="1" applyFont="1" applyFill="1" applyBorder="1"/>
    <xf numFmtId="165" fontId="60" fillId="33" borderId="18" xfId="39" applyNumberFormat="1" applyFont="1" applyFill="1" applyBorder="1"/>
    <xf numFmtId="165" fontId="60" fillId="33" borderId="10" xfId="39" applyNumberFormat="1" applyFont="1" applyFill="1" applyBorder="1"/>
    <xf numFmtId="165" fontId="60" fillId="33" borderId="13" xfId="39" applyNumberFormat="1" applyFont="1" applyFill="1" applyBorder="1"/>
    <xf numFmtId="0" fontId="66" fillId="0" borderId="15" xfId="39" applyFont="1" applyBorder="1" applyAlignment="1">
      <alignment vertical="top" wrapText="1"/>
    </xf>
    <xf numFmtId="0" fontId="66" fillId="0" borderId="11" xfId="39" applyFont="1" applyBorder="1" applyAlignment="1">
      <alignment vertical="top" wrapText="1"/>
    </xf>
    <xf numFmtId="0" fontId="66" fillId="0" borderId="16" xfId="39" applyFont="1" applyBorder="1" applyAlignment="1">
      <alignment vertical="top" wrapText="1"/>
    </xf>
    <xf numFmtId="0" fontId="66" fillId="0" borderId="17" xfId="39" applyFont="1" applyBorder="1" applyAlignment="1">
      <alignment vertical="top" wrapText="1"/>
    </xf>
    <xf numFmtId="0" fontId="66" fillId="0" borderId="0" xfId="39" applyFont="1" applyAlignment="1">
      <alignment vertical="top" wrapText="1"/>
    </xf>
    <xf numFmtId="0" fontId="66" fillId="0" borderId="14" xfId="39" applyFont="1" applyBorder="1" applyAlignment="1">
      <alignment vertical="top" wrapText="1"/>
    </xf>
    <xf numFmtId="0" fontId="64" fillId="0" borderId="0" xfId="39" applyFont="1" applyAlignment="1">
      <alignment vertical="top" wrapText="1"/>
    </xf>
    <xf numFmtId="0" fontId="64" fillId="0" borderId="17" xfId="39" applyFont="1" applyBorder="1" applyAlignment="1">
      <alignment vertical="center"/>
    </xf>
    <xf numFmtId="0" fontId="64" fillId="0" borderId="0" xfId="39" applyFont="1" applyAlignment="1">
      <alignment vertical="center"/>
    </xf>
    <xf numFmtId="0" fontId="64" fillId="0" borderId="14" xfId="39" applyFont="1" applyBorder="1" applyAlignment="1">
      <alignment vertical="center"/>
    </xf>
    <xf numFmtId="0" fontId="64" fillId="0" borderId="18" xfId="39" applyFont="1" applyBorder="1" applyAlignment="1">
      <alignment vertical="center"/>
    </xf>
    <xf numFmtId="0" fontId="64" fillId="0" borderId="10" xfId="39" applyFont="1" applyBorder="1" applyAlignment="1">
      <alignment vertical="center"/>
    </xf>
    <xf numFmtId="0" fontId="64" fillId="0" borderId="13" xfId="39" applyFont="1" applyBorder="1" applyAlignment="1">
      <alignment vertical="center"/>
    </xf>
    <xf numFmtId="165" fontId="60" fillId="0" borderId="15" xfId="39" applyNumberFormat="1" applyFont="1" applyBorder="1"/>
    <xf numFmtId="165" fontId="60" fillId="0" borderId="11" xfId="39" applyNumberFormat="1" applyFont="1" applyBorder="1"/>
    <xf numFmtId="165" fontId="60" fillId="0" borderId="16" xfId="39" applyNumberFormat="1" applyFont="1" applyBorder="1"/>
    <xf numFmtId="165" fontId="60" fillId="0" borderId="18" xfId="39" applyNumberFormat="1" applyFont="1" applyBorder="1"/>
    <xf numFmtId="165" fontId="60" fillId="0" borderId="10" xfId="39" applyNumberFormat="1" applyFont="1" applyBorder="1"/>
    <xf numFmtId="165" fontId="60" fillId="0" borderId="13" xfId="39" applyNumberFormat="1" applyFont="1" applyBorder="1"/>
    <xf numFmtId="14" fontId="64" fillId="0" borderId="18" xfId="39" applyNumberFormat="1" applyFont="1" applyBorder="1" applyAlignment="1">
      <alignment horizontal="left" vertical="center"/>
    </xf>
    <xf numFmtId="0" fontId="64" fillId="0" borderId="10" xfId="39" applyFont="1" applyBorder="1" applyAlignment="1">
      <alignment horizontal="left" vertical="center"/>
    </xf>
    <xf numFmtId="0" fontId="64" fillId="0" borderId="13" xfId="39" applyFont="1" applyBorder="1" applyAlignment="1">
      <alignment horizontal="left" vertical="center"/>
    </xf>
    <xf numFmtId="165" fontId="60" fillId="33" borderId="17" xfId="39" applyNumberFormat="1" applyFont="1" applyFill="1" applyBorder="1"/>
    <xf numFmtId="165" fontId="60" fillId="33" borderId="0" xfId="39" applyNumberFormat="1" applyFont="1" applyFill="1"/>
    <xf numFmtId="165" fontId="60" fillId="33" borderId="14" xfId="39" applyNumberFormat="1" applyFont="1" applyFill="1" applyBorder="1"/>
    <xf numFmtId="0" fontId="64" fillId="0" borderId="18" xfId="39" applyFont="1" applyBorder="1" applyAlignment="1">
      <alignment horizontal="center" vertical="center" wrapText="1"/>
    </xf>
    <xf numFmtId="0" fontId="64" fillId="0" borderId="10" xfId="39" applyFont="1" applyBorder="1" applyAlignment="1">
      <alignment horizontal="center" vertical="center" wrapText="1"/>
    </xf>
    <xf numFmtId="0" fontId="64" fillId="0" borderId="13" xfId="39" applyFont="1" applyBorder="1" applyAlignment="1">
      <alignment horizontal="center" vertical="center" wrapText="1"/>
    </xf>
    <xf numFmtId="0" fontId="64" fillId="0" borderId="10" xfId="39" applyFont="1" applyBorder="1" applyAlignment="1">
      <alignment vertical="top" wrapText="1"/>
    </xf>
    <xf numFmtId="0" fontId="66" fillId="0" borderId="12" xfId="39" applyFont="1" applyBorder="1"/>
    <xf numFmtId="0" fontId="64" fillId="24" borderId="17" xfId="39" applyFont="1" applyFill="1" applyBorder="1"/>
    <xf numFmtId="0" fontId="64" fillId="24" borderId="0" xfId="39" applyFont="1" applyFill="1"/>
    <xf numFmtId="0" fontId="64" fillId="24" borderId="14" xfId="39" applyFont="1" applyFill="1" applyBorder="1"/>
    <xf numFmtId="0" fontId="64" fillId="38" borderId="0" xfId="39" applyFont="1" applyFill="1"/>
    <xf numFmtId="0" fontId="68" fillId="0" borderId="18" xfId="39" applyFont="1" applyBorder="1" applyAlignment="1">
      <alignment vertical="top" wrapText="1"/>
    </xf>
    <xf numFmtId="0" fontId="68" fillId="0" borderId="10" xfId="39" applyFont="1" applyBorder="1" applyAlignment="1">
      <alignment vertical="top" wrapText="1"/>
    </xf>
    <xf numFmtId="0" fontId="68" fillId="0" borderId="13" xfId="39" applyFont="1" applyBorder="1" applyAlignment="1">
      <alignment vertical="top" wrapText="1"/>
    </xf>
    <xf numFmtId="0" fontId="64" fillId="0" borderId="10" xfId="39" applyFont="1" applyBorder="1" applyAlignment="1">
      <alignment horizontal="right" vertical="center"/>
    </xf>
    <xf numFmtId="0" fontId="66" fillId="0" borderId="22" xfId="39" applyFont="1" applyBorder="1" applyAlignment="1">
      <alignment horizontal="left" vertical="center" wrapText="1"/>
    </xf>
    <xf numFmtId="0" fontId="66" fillId="0" borderId="23" xfId="39" applyFont="1" applyBorder="1" applyAlignment="1">
      <alignment horizontal="left" vertical="center" wrapText="1"/>
    </xf>
    <xf numFmtId="0" fontId="66" fillId="0" borderId="11" xfId="39" applyFont="1" applyBorder="1" applyAlignment="1">
      <alignment horizontal="left" vertical="center" wrapText="1"/>
    </xf>
    <xf numFmtId="0" fontId="66" fillId="0" borderId="21" xfId="39" applyFont="1" applyBorder="1" applyAlignment="1">
      <alignment horizontal="left" vertical="center" wrapText="1"/>
    </xf>
    <xf numFmtId="0" fontId="64" fillId="0" borderId="18" xfId="39" applyFont="1" applyBorder="1" applyAlignment="1">
      <alignment horizontal="left" vertical="center" wrapText="1"/>
    </xf>
    <xf numFmtId="0" fontId="64" fillId="0" borderId="10" xfId="39" applyFont="1" applyBorder="1" applyAlignment="1">
      <alignment horizontal="left" vertical="center" wrapText="1"/>
    </xf>
    <xf numFmtId="0" fontId="64" fillId="0" borderId="13" xfId="39" applyFont="1" applyBorder="1" applyAlignment="1">
      <alignment horizontal="left" vertical="center" wrapText="1"/>
    </xf>
    <xf numFmtId="0" fontId="68" fillId="0" borderId="17" xfId="39" applyFont="1" applyBorder="1" applyAlignment="1">
      <alignment vertical="top" wrapText="1"/>
    </xf>
    <xf numFmtId="0" fontId="68" fillId="0" borderId="0" xfId="39" applyFont="1" applyAlignment="1">
      <alignment vertical="top" wrapText="1"/>
    </xf>
    <xf numFmtId="0" fontId="68" fillId="0" borderId="14" xfId="39" applyFont="1" applyBorder="1" applyAlignment="1">
      <alignment vertical="top" wrapText="1"/>
    </xf>
    <xf numFmtId="0" fontId="60" fillId="0" borderId="15" xfId="39" applyFont="1" applyBorder="1" applyAlignment="1">
      <alignment horizontal="center" vertical="center" wrapText="1"/>
    </xf>
    <xf numFmtId="0" fontId="60" fillId="0" borderId="16" xfId="39" applyFont="1" applyBorder="1" applyAlignment="1">
      <alignment horizontal="center" vertical="center" wrapText="1"/>
    </xf>
    <xf numFmtId="0" fontId="60" fillId="0" borderId="17" xfId="39" applyFont="1" applyBorder="1" applyAlignment="1">
      <alignment horizontal="center" vertical="center" wrapText="1"/>
    </xf>
    <xf numFmtId="0" fontId="60" fillId="0" borderId="13" xfId="39" applyFont="1" applyBorder="1" applyAlignment="1">
      <alignment horizontal="center" vertical="center" wrapText="1"/>
    </xf>
    <xf numFmtId="0" fontId="59" fillId="38" borderId="22" xfId="39" applyFont="1" applyFill="1" applyBorder="1" applyAlignment="1">
      <alignment horizontal="center"/>
    </xf>
    <xf numFmtId="0" fontId="59" fillId="38" borderId="23" xfId="39" applyFont="1" applyFill="1" applyBorder="1" applyAlignment="1">
      <alignment horizontal="center"/>
    </xf>
    <xf numFmtId="0" fontId="59" fillId="38" borderId="21" xfId="39" applyFont="1" applyFill="1" applyBorder="1" applyAlignment="1">
      <alignment horizontal="center"/>
    </xf>
    <xf numFmtId="0" fontId="60" fillId="0" borderId="15" xfId="39" quotePrefix="1" applyFont="1" applyBorder="1" applyAlignment="1">
      <alignment horizontal="right" vertical="center" wrapText="1"/>
    </xf>
    <xf numFmtId="0" fontId="60" fillId="0" borderId="17" xfId="39" applyFont="1" applyBorder="1" applyAlignment="1">
      <alignment horizontal="right" vertical="center" wrapText="1"/>
    </xf>
    <xf numFmtId="0" fontId="59" fillId="38" borderId="15" xfId="39" applyFont="1" applyFill="1" applyBorder="1" applyAlignment="1">
      <alignment horizontal="center"/>
    </xf>
    <xf numFmtId="0" fontId="60" fillId="0" borderId="19" xfId="39" applyFont="1" applyBorder="1" applyAlignment="1">
      <alignment horizontal="center" vertical="center" wrapText="1"/>
    </xf>
    <xf numFmtId="0" fontId="63" fillId="0" borderId="19" xfId="39" applyFont="1" applyBorder="1" applyAlignment="1">
      <alignment horizontal="center"/>
    </xf>
    <xf numFmtId="0" fontId="60" fillId="0" borderId="21" xfId="39" applyFont="1" applyBorder="1" applyAlignment="1">
      <alignment vertical="center"/>
    </xf>
    <xf numFmtId="0" fontId="60" fillId="0" borderId="19" xfId="39" applyFont="1" applyBorder="1" applyAlignment="1">
      <alignment vertical="center"/>
    </xf>
    <xf numFmtId="0" fontId="61" fillId="0" borderId="19" xfId="39" applyFont="1" applyBorder="1" applyAlignment="1">
      <alignment horizontal="center" vertical="center" wrapText="1"/>
    </xf>
    <xf numFmtId="0" fontId="60" fillId="0" borderId="23" xfId="39" applyFont="1" applyBorder="1" applyAlignment="1">
      <alignment vertical="center"/>
    </xf>
    <xf numFmtId="0" fontId="60" fillId="38" borderId="18" xfId="39" applyFont="1" applyFill="1" applyBorder="1" applyAlignment="1">
      <alignment horizontal="right"/>
    </xf>
    <xf numFmtId="0" fontId="60" fillId="38" borderId="23" xfId="39" applyFont="1" applyFill="1" applyBorder="1" applyAlignment="1">
      <alignment horizontal="right"/>
    </xf>
    <xf numFmtId="0" fontId="60" fillId="38" borderId="21" xfId="39" applyFont="1" applyFill="1" applyBorder="1" applyAlignment="1">
      <alignment horizontal="right"/>
    </xf>
    <xf numFmtId="0" fontId="59" fillId="38" borderId="22" xfId="39" applyFont="1" applyFill="1" applyBorder="1" applyAlignment="1">
      <alignment horizontal="center" vertical="center"/>
    </xf>
    <xf numFmtId="0" fontId="59" fillId="38" borderId="23" xfId="39" applyFont="1" applyFill="1" applyBorder="1" applyAlignment="1">
      <alignment horizontal="center" vertical="center"/>
    </xf>
    <xf numFmtId="0" fontId="59" fillId="38" borderId="21" xfId="39" applyFont="1" applyFill="1" applyBorder="1" applyAlignment="1">
      <alignment horizontal="center" vertical="center"/>
    </xf>
    <xf numFmtId="0" fontId="60" fillId="0" borderId="15" xfId="39" quotePrefix="1" applyFont="1" applyBorder="1" applyAlignment="1">
      <alignment vertical="center"/>
    </xf>
    <xf numFmtId="0" fontId="60" fillId="0" borderId="17" xfId="39" applyFont="1" applyBorder="1" applyAlignment="1">
      <alignment vertical="center"/>
    </xf>
    <xf numFmtId="0" fontId="61" fillId="0" borderId="15" xfId="39" applyFont="1" applyBorder="1" applyAlignment="1">
      <alignment horizontal="center" vertical="top" wrapText="1"/>
    </xf>
    <xf numFmtId="0" fontId="61" fillId="0" borderId="11" xfId="39" applyFont="1" applyBorder="1" applyAlignment="1">
      <alignment horizontal="center" vertical="top" wrapText="1"/>
    </xf>
    <xf numFmtId="0" fontId="61" fillId="0" borderId="16" xfId="39" applyFont="1" applyBorder="1" applyAlignment="1">
      <alignment horizontal="center" vertical="top" wrapText="1"/>
    </xf>
    <xf numFmtId="0" fontId="61" fillId="0" borderId="17" xfId="39" applyFont="1" applyBorder="1" applyAlignment="1">
      <alignment horizontal="center" vertical="top" wrapText="1"/>
    </xf>
    <xf numFmtId="0" fontId="61" fillId="0" borderId="10" xfId="39" applyFont="1" applyBorder="1" applyAlignment="1">
      <alignment horizontal="center" vertical="top" wrapText="1"/>
    </xf>
    <xf numFmtId="0" fontId="61" fillId="0" borderId="13" xfId="39" applyFont="1" applyBorder="1" applyAlignment="1">
      <alignment horizontal="center" vertical="top" wrapText="1"/>
    </xf>
    <xf numFmtId="0" fontId="59" fillId="38" borderId="17" xfId="39" applyFont="1" applyFill="1" applyBorder="1" applyAlignment="1">
      <alignment horizontal="center" vertical="center"/>
    </xf>
    <xf numFmtId="0" fontId="59" fillId="38" borderId="18" xfId="39" applyFont="1" applyFill="1" applyBorder="1" applyAlignment="1">
      <alignment horizontal="center" vertical="center"/>
    </xf>
    <xf numFmtId="0" fontId="61" fillId="0" borderId="23" xfId="39" applyFont="1" applyBorder="1" applyAlignment="1">
      <alignment horizontal="center" vertical="top" wrapText="1"/>
    </xf>
    <xf numFmtId="0" fontId="61" fillId="0" borderId="21" xfId="39" applyFont="1" applyBorder="1" applyAlignment="1">
      <alignment horizontal="center" vertical="top" wrapText="1"/>
    </xf>
    <xf numFmtId="0" fontId="60" fillId="0" borderId="23" xfId="39" applyFont="1" applyBorder="1" applyAlignment="1">
      <alignment horizontal="left" vertical="center" wrapText="1"/>
    </xf>
    <xf numFmtId="0" fontId="60" fillId="0" borderId="21" xfId="39" applyFont="1" applyBorder="1" applyAlignment="1">
      <alignment horizontal="left" vertical="center" wrapText="1"/>
    </xf>
    <xf numFmtId="49" fontId="60" fillId="0" borderId="21" xfId="39" applyNumberFormat="1" applyFont="1" applyBorder="1" applyAlignment="1">
      <alignment horizontal="left" vertical="center"/>
    </xf>
    <xf numFmtId="49" fontId="60" fillId="0" borderId="19" xfId="39" applyNumberFormat="1" applyFont="1" applyBorder="1" applyAlignment="1">
      <alignment horizontal="left" vertical="center"/>
    </xf>
    <xf numFmtId="0" fontId="60" fillId="0" borderId="19" xfId="39" applyFont="1" applyBorder="1" applyAlignment="1">
      <alignment horizontal="center" vertical="center"/>
    </xf>
    <xf numFmtId="0" fontId="60" fillId="0" borderId="15" xfId="39" applyFont="1" applyBorder="1" applyAlignment="1">
      <alignment vertical="center"/>
    </xf>
    <xf numFmtId="0" fontId="60" fillId="0" borderId="11" xfId="39" applyFont="1" applyBorder="1" applyAlignment="1">
      <alignment vertical="center"/>
    </xf>
    <xf numFmtId="0" fontId="60" fillId="0" borderId="16" xfId="39" applyFont="1" applyBorder="1" applyAlignment="1">
      <alignment vertical="center"/>
    </xf>
    <xf numFmtId="0" fontId="59" fillId="38" borderId="11" xfId="39" applyFont="1" applyFill="1" applyBorder="1" applyAlignment="1">
      <alignment horizontal="center" vertical="center"/>
    </xf>
    <xf numFmtId="0" fontId="59" fillId="38" borderId="16" xfId="39" applyFont="1" applyFill="1" applyBorder="1" applyAlignment="1">
      <alignment horizontal="center" vertical="center"/>
    </xf>
    <xf numFmtId="0" fontId="60" fillId="0" borderId="21" xfId="39" applyFont="1" applyBorder="1" applyAlignment="1">
      <alignment horizontal="left" vertical="center"/>
    </xf>
    <xf numFmtId="0" fontId="60" fillId="0" borderId="19" xfId="39" applyFont="1" applyBorder="1" applyAlignment="1">
      <alignment horizontal="left"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2" xr:uid="{00000000-0005-0000-0000-00001B000000}"/>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6" xr:uid="{00000000-0005-0000-0000-000028000000}"/>
    <cellStyle name="Normal 3" xfId="47" xr:uid="{00000000-0005-0000-0000-000029000000}"/>
    <cellStyle name="Normal 4" xfId="51" xr:uid="{00000000-0005-0000-0000-00002A000000}"/>
    <cellStyle name="Normal_424 and 424A Excel Template" xfId="39" xr:uid="{00000000-0005-0000-0000-00002B000000}"/>
    <cellStyle name="Normal_Extract" xfId="49" xr:uid="{00000000-0005-0000-0000-00002C000000}"/>
    <cellStyle name="Normal_SDSMT 2009 - Sponsored Programs Salary Listing" xfId="48" xr:uid="{00000000-0005-0000-0000-00002D000000}"/>
    <cellStyle name="Normal_USM Basic Budget Template - Unhidden" xfId="40" xr:uid="{00000000-0005-0000-0000-00002E000000}"/>
    <cellStyle name="Note" xfId="41" builtinId="10" customBuiltin="1"/>
    <cellStyle name="Output" xfId="42" builtinId="21" customBuiltin="1"/>
    <cellStyle name="Percent" xfId="50" builtinId="5"/>
    <cellStyle name="Title" xfId="43" builtinId="15" customBuiltin="1"/>
    <cellStyle name="Total" xfId="44" builtinId="25" customBuiltin="1"/>
    <cellStyle name="Warning Text" xfId="45" builtinId="11" customBuiltin="1"/>
  </cellStyles>
  <dxfs count="698">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s>
  <tableStyles count="0" defaultTableStyle="TableStyleMedium9" defaultPivotStyle="PivotStyleLight16"/>
  <colors>
    <mruColors>
      <color rgb="FFFFCC00"/>
      <color rgb="FFFF9933"/>
      <color rgb="FF00FF0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7169" name="Picture 1" descr="Blue logo transp">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0</xdr:rowOff>
    </xdr:from>
    <xdr:to>
      <xdr:col>3</xdr:col>
      <xdr:colOff>171450</xdr:colOff>
      <xdr:row>4</xdr:row>
      <xdr:rowOff>114300</xdr:rowOff>
    </xdr:to>
    <xdr:pic>
      <xdr:nvPicPr>
        <xdr:cNvPr id="8193" name="Picture 1" descr="Blue logo transp">
          <a:extLst>
            <a:ext uri="{FF2B5EF4-FFF2-40B4-BE49-F238E27FC236}">
              <a16:creationId xmlns:a16="http://schemas.microsoft.com/office/drawing/2014/main" id="{00000000-0008-0000-0400-000001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838200" cy="1038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2</xdr:col>
      <xdr:colOff>238125</xdr:colOff>
      <xdr:row>4</xdr:row>
      <xdr:rowOff>85725</xdr:rowOff>
    </xdr:to>
    <xdr:pic>
      <xdr:nvPicPr>
        <xdr:cNvPr id="2" name="Picture 1">
          <a:extLst>
            <a:ext uri="{FF2B5EF4-FFF2-40B4-BE49-F238E27FC236}">
              <a16:creationId xmlns:a16="http://schemas.microsoft.com/office/drawing/2014/main" id="{DE751FA7-2705-483F-9095-4A7B015652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5725" y="47625"/>
          <a:ext cx="638175"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2</xdr:col>
      <xdr:colOff>238125</xdr:colOff>
      <xdr:row>4</xdr:row>
      <xdr:rowOff>104775</xdr:rowOff>
    </xdr:to>
    <xdr:pic>
      <xdr:nvPicPr>
        <xdr:cNvPr id="2" name="Picture 1">
          <a:extLst>
            <a:ext uri="{FF2B5EF4-FFF2-40B4-BE49-F238E27FC236}">
              <a16:creationId xmlns:a16="http://schemas.microsoft.com/office/drawing/2014/main" id="{80344C90-27AE-4CD7-8EE9-ADD54BB41B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5725" y="19050"/>
          <a:ext cx="638175" cy="876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209550</xdr:colOff>
      <xdr:row>4</xdr:row>
      <xdr:rowOff>104775</xdr:rowOff>
    </xdr:to>
    <xdr:pic>
      <xdr:nvPicPr>
        <xdr:cNvPr id="2" name="Picture 1">
          <a:extLst>
            <a:ext uri="{FF2B5EF4-FFF2-40B4-BE49-F238E27FC236}">
              <a16:creationId xmlns:a16="http://schemas.microsoft.com/office/drawing/2014/main" id="{D9F36265-A9E5-4F28-AC55-6A308699AB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7150" y="28575"/>
          <a:ext cx="638175" cy="876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2</xdr:col>
      <xdr:colOff>228600</xdr:colOff>
      <xdr:row>4</xdr:row>
      <xdr:rowOff>104775</xdr:rowOff>
    </xdr:to>
    <xdr:pic>
      <xdr:nvPicPr>
        <xdr:cNvPr id="2" name="Picture 1">
          <a:extLst>
            <a:ext uri="{FF2B5EF4-FFF2-40B4-BE49-F238E27FC236}">
              <a16:creationId xmlns:a16="http://schemas.microsoft.com/office/drawing/2014/main" id="{5AFEFEA4-875B-4F2E-BBFE-F8368337E9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6200" y="28575"/>
          <a:ext cx="638175" cy="876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2</xdr:col>
      <xdr:colOff>238125</xdr:colOff>
      <xdr:row>4</xdr:row>
      <xdr:rowOff>114300</xdr:rowOff>
    </xdr:to>
    <xdr:pic>
      <xdr:nvPicPr>
        <xdr:cNvPr id="2" name="Picture 1">
          <a:extLst>
            <a:ext uri="{FF2B5EF4-FFF2-40B4-BE49-F238E27FC236}">
              <a16:creationId xmlns:a16="http://schemas.microsoft.com/office/drawing/2014/main" id="{D292362D-F2A9-4273-BBE3-096E0B990D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5725" y="38100"/>
          <a:ext cx="638175" cy="876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247650</xdr:colOff>
      <xdr:row>4</xdr:row>
      <xdr:rowOff>123825</xdr:rowOff>
    </xdr:to>
    <xdr:pic>
      <xdr:nvPicPr>
        <xdr:cNvPr id="2" name="Picture 1">
          <a:extLst>
            <a:ext uri="{FF2B5EF4-FFF2-40B4-BE49-F238E27FC236}">
              <a16:creationId xmlns:a16="http://schemas.microsoft.com/office/drawing/2014/main" id="{DBA72FE4-2B52-4CBF-9B7B-6F3D756992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47625"/>
          <a:ext cx="638175" cy="876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5121" name="Picture 1" descr="Blue logo transp">
          <a:extLst>
            <a:ext uri="{FF2B5EF4-FFF2-40B4-BE49-F238E27FC236}">
              <a16:creationId xmlns:a16="http://schemas.microsoft.com/office/drawing/2014/main" id="{00000000-0008-0000-0F00-00000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2" name="Picture 1" descr="Blue logo transp">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2" name="Picture 1" descr="Blue logo transp">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2" name="Picture 1" descr="Blue logo transp">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3</xdr:row>
      <xdr:rowOff>333375</xdr:rowOff>
    </xdr:to>
    <xdr:pic>
      <xdr:nvPicPr>
        <xdr:cNvPr id="2" name="Picture 1" descr="Blue logo transp">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9906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3</xdr:row>
      <xdr:rowOff>409575</xdr:rowOff>
    </xdr:to>
    <xdr:pic>
      <xdr:nvPicPr>
        <xdr:cNvPr id="2" name="Picture 1" descr="Blue logo transp">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0668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3</xdr:row>
      <xdr:rowOff>447675</xdr:rowOff>
    </xdr:to>
    <xdr:pic>
      <xdr:nvPicPr>
        <xdr:cNvPr id="2" name="Picture 1" descr="Blue logo transp">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1049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xdr:colOff>
      <xdr:row>74</xdr:row>
      <xdr:rowOff>38102</xdr:rowOff>
    </xdr:from>
    <xdr:to>
      <xdr:col>20</xdr:col>
      <xdr:colOff>123826</xdr:colOff>
      <xdr:row>74</xdr:row>
      <xdr:rowOff>409576</xdr:rowOff>
    </xdr:to>
    <xdr:pic>
      <xdr:nvPicPr>
        <xdr:cNvPr id="2" name="Picture 1" descr="LEJ II Signature.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104777" y="9525002"/>
          <a:ext cx="1857374" cy="371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dmin\GESP\SPONSORED%20PROGRAMS\Proposal%20Budgets\Budgets\FY08\MP0800137%20Alley%20BECA%20USAID%20Mongolia\MP0800137%20Alley%20BECA%20USAID%20Mongolia%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Sum"/>
      <sheetName val="Budget Page"/>
      <sheetName val="Narrative"/>
      <sheetName val="WSheet"/>
      <sheetName val="Univ 424"/>
      <sheetName val="Univ 424A-1"/>
      <sheetName val="Univ 424A-2"/>
      <sheetName val="Fed_Sum"/>
      <sheetName val="Budget_Page"/>
      <sheetName val="Univ_424"/>
      <sheetName val="Univ_424A-1"/>
      <sheetName val="Univ_424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mailto:Carter.Kerk@sdsmt.edu"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314"/>
  <sheetViews>
    <sheetView workbookViewId="0">
      <selection activeCell="AM324" sqref="AM324"/>
    </sheetView>
  </sheetViews>
  <sheetFormatPr defaultColWidth="8" defaultRowHeight="13.8" x14ac:dyDescent="0.3"/>
  <cols>
    <col min="1" max="1" width="0.77734375" style="20" customWidth="1"/>
    <col min="2" max="2" width="0.77734375" style="21" customWidth="1"/>
    <col min="3" max="3" width="2.77734375" style="21" customWidth="1"/>
    <col min="4" max="4" width="0.77734375" style="21" customWidth="1"/>
    <col min="5" max="5" width="2.77734375" style="21" customWidth="1"/>
    <col min="6" max="6" width="0.77734375" style="21" customWidth="1"/>
    <col min="7" max="7" width="2.77734375" style="21" customWidth="1"/>
    <col min="8" max="8" width="0.77734375" style="21" customWidth="1"/>
    <col min="9" max="9" width="2.77734375" style="21" customWidth="1"/>
    <col min="10" max="10" width="0.77734375" style="21" customWidth="1"/>
    <col min="11" max="11" width="14.33203125" style="21" customWidth="1"/>
    <col min="12" max="12" width="0.77734375" style="21" customWidth="1"/>
    <col min="13" max="13" width="2.77734375" style="21" customWidth="1"/>
    <col min="14" max="14" width="0.77734375" style="21" customWidth="1"/>
    <col min="15" max="15" width="2.77734375" style="21" customWidth="1"/>
    <col min="16" max="16" width="0.77734375" style="21" customWidth="1"/>
    <col min="17" max="17" width="4.88671875" style="21" customWidth="1"/>
    <col min="18" max="18" width="0.77734375" style="21" customWidth="1"/>
    <col min="19" max="19" width="2.77734375" style="21" customWidth="1"/>
    <col min="20" max="20" width="0.77734375" style="21" customWidth="1"/>
    <col min="21" max="21" width="2.77734375" style="21" customWidth="1"/>
    <col min="22" max="22" width="0.77734375" style="21" customWidth="1"/>
    <col min="23" max="23" width="2.77734375" style="21" customWidth="1"/>
    <col min="24" max="24" width="0.77734375" style="21" customWidth="1"/>
    <col min="25" max="25" width="2.77734375" style="21" customWidth="1"/>
    <col min="26" max="26" width="0.77734375" style="21" customWidth="1"/>
    <col min="27" max="27" width="2.77734375" style="21" customWidth="1"/>
    <col min="28" max="28" width="0.77734375" style="21" customWidth="1"/>
    <col min="29" max="29" width="2.77734375" style="21" customWidth="1"/>
    <col min="30" max="30" width="0.77734375" style="21" customWidth="1"/>
    <col min="31" max="31" width="2.77734375" style="21" customWidth="1"/>
    <col min="32" max="32" width="0.77734375" style="21" customWidth="1"/>
    <col min="33" max="33" width="2.77734375" style="21" customWidth="1"/>
    <col min="34" max="34" width="0.77734375" style="21" customWidth="1"/>
    <col min="35" max="35" width="2.77734375" style="21" customWidth="1"/>
    <col min="36" max="36" width="0.77734375" style="21" customWidth="1"/>
    <col min="37" max="37" width="2.77734375" style="21" customWidth="1"/>
    <col min="38" max="38" width="0.77734375" style="21" customWidth="1"/>
    <col min="39" max="39" width="2.77734375" style="21" customWidth="1"/>
    <col min="40" max="40" width="0.77734375" style="21" customWidth="1"/>
    <col min="41" max="41" width="2.77734375" style="21" customWidth="1"/>
    <col min="42" max="42" width="0.77734375" style="21" customWidth="1"/>
    <col min="43" max="43" width="2.77734375" style="21" customWidth="1"/>
    <col min="44" max="44" width="0.77734375" style="21" customWidth="1"/>
    <col min="45" max="45" width="2.77734375" style="21" customWidth="1"/>
    <col min="46" max="46" width="0.77734375" style="21" customWidth="1"/>
    <col min="47" max="47" width="2.77734375" style="21" customWidth="1"/>
    <col min="48" max="48" width="0.77734375" style="21" customWidth="1"/>
    <col min="49" max="49" width="2.77734375" style="21" customWidth="1"/>
    <col min="50" max="50" width="0.77734375" style="21" customWidth="1"/>
    <col min="51" max="51" width="2.77734375" style="21" customWidth="1"/>
    <col min="52" max="52" width="0.77734375" style="21" customWidth="1"/>
    <col min="53" max="53" width="2.77734375" style="21" customWidth="1"/>
    <col min="54" max="54" width="0.77734375" style="21" customWidth="1"/>
    <col min="55" max="55" width="2.77734375" style="21" customWidth="1"/>
    <col min="56" max="56" width="0.77734375" style="21" customWidth="1"/>
    <col min="57" max="57" width="2.77734375" style="21" customWidth="1"/>
    <col min="58" max="58" width="0.77734375" style="21" customWidth="1"/>
    <col min="59" max="59" width="2.77734375" style="21" customWidth="1"/>
    <col min="60" max="60" width="0.77734375" style="21" customWidth="1"/>
    <col min="61" max="61" width="2.77734375" style="21" customWidth="1"/>
    <col min="62" max="62" width="0.77734375" style="21" customWidth="1"/>
    <col min="63" max="63" width="2.77734375" style="21" customWidth="1"/>
    <col min="64" max="64" width="0.77734375" style="21" customWidth="1"/>
    <col min="65" max="65" width="2.77734375" style="21" customWidth="1"/>
    <col min="66" max="66" width="0.77734375" style="21" customWidth="1"/>
    <col min="67" max="67" width="2.77734375" style="21" customWidth="1"/>
    <col min="68" max="68" width="0.77734375" style="21" customWidth="1"/>
    <col min="69" max="69" width="2.77734375" style="21" customWidth="1"/>
    <col min="70" max="70" width="0.77734375" style="21" customWidth="1"/>
    <col min="71" max="71" width="2.77734375" style="21" customWidth="1"/>
    <col min="72" max="72" width="0.77734375" style="21" customWidth="1"/>
    <col min="73" max="73" width="2.77734375" style="21" customWidth="1"/>
    <col min="74" max="74" width="0.77734375" style="21" customWidth="1"/>
    <col min="75" max="75" width="2.77734375" style="21" customWidth="1"/>
    <col min="76" max="76" width="0.77734375" style="21" customWidth="1"/>
    <col min="77" max="77" width="2.77734375" style="21" customWidth="1"/>
    <col min="78" max="78" width="0.77734375" style="21" customWidth="1"/>
    <col min="79" max="79" width="2.77734375" style="21" customWidth="1"/>
    <col min="80" max="80" width="0.77734375" style="21" customWidth="1"/>
    <col min="81" max="81" width="2.77734375" style="21" customWidth="1"/>
    <col min="82" max="82" width="0.77734375" style="21" customWidth="1"/>
    <col min="83" max="83" width="2.77734375" style="21" customWidth="1"/>
    <col min="84" max="84" width="0.77734375" style="21" customWidth="1"/>
    <col min="85" max="85" width="2.77734375" style="21" customWidth="1"/>
    <col min="86" max="86" width="0.77734375" style="21" customWidth="1"/>
    <col min="87" max="87" width="2.77734375" style="21" customWidth="1"/>
    <col min="88" max="88" width="0.77734375" style="21" customWidth="1"/>
    <col min="89" max="89" width="2.77734375" style="21" customWidth="1"/>
    <col min="90" max="90" width="0.77734375" style="21" customWidth="1"/>
    <col min="91" max="91" width="2.77734375" style="21" customWidth="1"/>
    <col min="92" max="92" width="0.77734375" style="21" customWidth="1"/>
    <col min="93" max="93" width="2.77734375" style="21" customWidth="1"/>
    <col min="94" max="94" width="0.77734375" style="21" customWidth="1"/>
    <col min="95" max="95" width="2.77734375" style="21" customWidth="1"/>
    <col min="96" max="96" width="0.77734375" style="21" customWidth="1"/>
    <col min="97" max="97" width="2.77734375" style="21" customWidth="1"/>
    <col min="98" max="98" width="0.77734375" style="21" customWidth="1"/>
    <col min="99" max="99" width="2.77734375" style="21" customWidth="1"/>
    <col min="100" max="100" width="0.77734375" style="21" customWidth="1"/>
    <col min="101" max="101" width="2.77734375" style="21" customWidth="1"/>
    <col min="102" max="102" width="0.77734375" style="21" customWidth="1"/>
    <col min="103" max="103" width="2.77734375" style="21" customWidth="1"/>
    <col min="104" max="104" width="0.77734375" style="21" customWidth="1"/>
    <col min="105" max="105" width="2.77734375" style="21" customWidth="1"/>
    <col min="106" max="106" width="0.77734375" style="21" customWidth="1"/>
    <col min="107" max="107" width="2.77734375" style="21" customWidth="1"/>
    <col min="108" max="108" width="0.77734375" style="21" customWidth="1"/>
    <col min="109" max="109" width="2.77734375" style="21" customWidth="1"/>
    <col min="110" max="16384" width="8" style="21"/>
  </cols>
  <sheetData>
    <row r="1" spans="1:85" ht="2.25" customHeight="1" x14ac:dyDescent="0.3">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85" x14ac:dyDescent="0.3">
      <c r="C2" s="22"/>
      <c r="BD2" s="20"/>
      <c r="BE2" s="22"/>
    </row>
    <row r="3" spans="1:85" ht="28.5" customHeight="1" x14ac:dyDescent="0.3">
      <c r="A3" s="105"/>
      <c r="C3" s="23" t="s">
        <v>0</v>
      </c>
      <c r="K3" s="650"/>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2"/>
      <c r="BD3" s="105"/>
      <c r="BE3" s="23"/>
    </row>
    <row r="4" spans="1:85" x14ac:dyDescent="0.3">
      <c r="A4" s="105"/>
      <c r="BD4" s="105"/>
    </row>
    <row r="5" spans="1:85" x14ac:dyDescent="0.3">
      <c r="A5" s="105"/>
      <c r="C5" s="23" t="s">
        <v>1</v>
      </c>
      <c r="M5" s="653"/>
      <c r="N5" s="654"/>
      <c r="O5" s="654"/>
      <c r="P5" s="654"/>
      <c r="Q5" s="654"/>
      <c r="R5" s="654"/>
      <c r="S5" s="654"/>
      <c r="T5" s="654"/>
      <c r="U5" s="654"/>
      <c r="V5" s="654"/>
      <c r="W5" s="654"/>
      <c r="X5" s="654"/>
      <c r="Y5" s="654"/>
      <c r="Z5" s="654"/>
      <c r="AA5" s="655"/>
      <c r="AC5" s="659" t="s">
        <v>2</v>
      </c>
      <c r="AD5" s="659"/>
      <c r="AE5" s="660"/>
      <c r="AF5" s="619" t="e">
        <f>(VLOOKUP(PI,Salaries!$A$5:$D$369,2,FALSE))</f>
        <v>#N/A</v>
      </c>
      <c r="AG5" s="620"/>
      <c r="AH5" s="620"/>
      <c r="AI5" s="620"/>
      <c r="AJ5" s="620"/>
      <c r="AK5" s="620"/>
      <c r="AL5" s="620"/>
      <c r="AM5" s="620"/>
      <c r="AN5" s="620"/>
      <c r="AO5" s="620"/>
      <c r="AP5" s="620"/>
      <c r="AQ5" s="620"/>
      <c r="AR5" s="620"/>
      <c r="AS5" s="620"/>
      <c r="AT5" s="620"/>
      <c r="AU5" s="620"/>
      <c r="AV5" s="620"/>
      <c r="AW5" s="620"/>
      <c r="AX5" s="620"/>
      <c r="AY5" s="620"/>
      <c r="AZ5" s="620"/>
      <c r="BA5" s="620"/>
      <c r="BB5" s="621"/>
      <c r="BD5" s="105"/>
      <c r="BE5" s="23"/>
      <c r="CE5" s="50"/>
      <c r="CF5" s="50"/>
      <c r="CG5" s="50"/>
    </row>
    <row r="6" spans="1:85" x14ac:dyDescent="0.3">
      <c r="A6" s="105"/>
      <c r="BD6" s="105"/>
    </row>
    <row r="7" spans="1:85" x14ac:dyDescent="0.3">
      <c r="A7" s="105"/>
      <c r="C7" s="23" t="s">
        <v>3</v>
      </c>
      <c r="I7" s="656"/>
      <c r="J7" s="657"/>
      <c r="K7" s="657"/>
      <c r="L7" s="657"/>
      <c r="M7" s="657"/>
      <c r="N7" s="657"/>
      <c r="O7" s="657"/>
      <c r="P7" s="657"/>
      <c r="Q7" s="657"/>
      <c r="R7" s="657"/>
      <c r="S7" s="658"/>
      <c r="AC7" s="618" t="s">
        <v>4</v>
      </c>
      <c r="AD7" s="618"/>
      <c r="AE7" s="618"/>
      <c r="AF7" s="619" t="e">
        <f>(VLOOKUP(PI,Salaries!$A$2:$K$369,10,FALSE))</f>
        <v>#N/A</v>
      </c>
      <c r="AG7" s="620"/>
      <c r="AH7" s="620"/>
      <c r="AI7" s="620"/>
      <c r="AJ7" s="620"/>
      <c r="AK7" s="620"/>
      <c r="AL7" s="620"/>
      <c r="AM7" s="620"/>
      <c r="AN7" s="620"/>
      <c r="AO7" s="620"/>
      <c r="AP7" s="620"/>
      <c r="AQ7" s="620"/>
      <c r="AR7" s="620"/>
      <c r="AS7" s="620"/>
      <c r="AT7" s="620"/>
      <c r="AU7" s="620"/>
      <c r="AV7" s="620"/>
      <c r="AW7" s="620"/>
      <c r="AX7" s="620"/>
      <c r="AY7" s="620"/>
      <c r="AZ7" s="620"/>
      <c r="BA7" s="620"/>
      <c r="BB7" s="621"/>
      <c r="BD7" s="105"/>
      <c r="BE7" s="23"/>
      <c r="BK7" s="82"/>
      <c r="BL7" s="34"/>
      <c r="BM7" s="34"/>
      <c r="BN7" s="34"/>
      <c r="BO7" s="34"/>
      <c r="BP7" s="34"/>
      <c r="BQ7" s="34"/>
      <c r="BR7" s="34"/>
      <c r="BS7" s="34"/>
      <c r="BT7" s="34"/>
      <c r="BU7" s="34"/>
    </row>
    <row r="8" spans="1:85" x14ac:dyDescent="0.3">
      <c r="A8" s="105"/>
      <c r="AA8" s="175"/>
      <c r="AC8" s="21" t="s">
        <v>5</v>
      </c>
      <c r="BD8" s="105"/>
    </row>
    <row r="9" spans="1:85" x14ac:dyDescent="0.3">
      <c r="A9" s="105"/>
      <c r="C9" s="23" t="s">
        <v>6</v>
      </c>
      <c r="I9" s="656"/>
      <c r="J9" s="657"/>
      <c r="K9" s="657"/>
      <c r="L9" s="657"/>
      <c r="M9" s="657"/>
      <c r="N9" s="657"/>
      <c r="O9" s="657"/>
      <c r="P9" s="657"/>
      <c r="Q9" s="657"/>
      <c r="R9" s="657"/>
      <c r="S9" s="658"/>
      <c r="AA9" s="176"/>
      <c r="AC9" s="21" t="s">
        <v>7</v>
      </c>
      <c r="BD9" s="105"/>
      <c r="BE9" s="23"/>
      <c r="BK9" s="82"/>
      <c r="BL9" s="34"/>
      <c r="BM9" s="34"/>
      <c r="BN9" s="34"/>
      <c r="BO9" s="34"/>
      <c r="BP9" s="34"/>
      <c r="BQ9" s="34"/>
      <c r="BR9" s="34"/>
      <c r="BS9" s="34"/>
      <c r="BT9" s="34"/>
      <c r="BU9" s="34"/>
    </row>
    <row r="10" spans="1:85" x14ac:dyDescent="0.3">
      <c r="A10" s="105"/>
      <c r="BD10" s="105"/>
    </row>
    <row r="11" spans="1:85" ht="2.25" customHeight="1" x14ac:dyDescent="0.3">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row>
    <row r="12" spans="1:85" ht="2.25" customHeight="1" x14ac:dyDescent="0.3">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row>
    <row r="13" spans="1:85" ht="2.25" customHeight="1" x14ac:dyDescent="0.3">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row>
    <row r="14" spans="1:85" ht="12.75" hidden="1" customHeight="1" x14ac:dyDescent="0.3">
      <c r="B14" s="691" t="s">
        <v>8</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20"/>
    </row>
    <row r="15" spans="1:85" ht="2.25" hidden="1" customHeight="1" x14ac:dyDescent="0.3">
      <c r="B15" s="691"/>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20"/>
    </row>
    <row r="16" spans="1:85" ht="12.75" hidden="1" customHeight="1" x14ac:dyDescent="0.3">
      <c r="B16" s="691"/>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20"/>
    </row>
    <row r="17" spans="2:109" ht="2.25" customHeight="1" x14ac:dyDescent="0.3">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row>
    <row r="18" spans="2:109" ht="12.75" hidden="1" customHeight="1" x14ac:dyDescent="0.3">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692">
        <v>3.7344674556213011</v>
      </c>
      <c r="AZ18" s="692"/>
      <c r="BA18" s="692"/>
      <c r="BB18" s="19"/>
      <c r="BC18" s="19"/>
      <c r="BD18" s="20"/>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83"/>
      <c r="DB18" s="83"/>
      <c r="DC18" s="83"/>
      <c r="DD18" s="19"/>
      <c r="DE18" s="19"/>
    </row>
    <row r="19" spans="2:109" ht="2.25" hidden="1" customHeight="1" x14ac:dyDescent="0.3">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20"/>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row>
    <row r="20" spans="2:109" hidden="1" x14ac:dyDescent="0.3">
      <c r="C20" s="19"/>
      <c r="D20" s="19"/>
      <c r="E20" s="19"/>
      <c r="F20" s="19"/>
      <c r="G20" s="19"/>
      <c r="H20" s="19"/>
      <c r="I20" s="19"/>
      <c r="J20" s="19"/>
      <c r="K20" s="19"/>
      <c r="L20" s="19"/>
      <c r="M20" s="19"/>
      <c r="N20" s="19"/>
      <c r="O20" s="19"/>
      <c r="P20" s="19"/>
      <c r="Q20" s="24" t="s">
        <v>9</v>
      </c>
      <c r="R20" s="19"/>
      <c r="S20" s="693">
        <v>0.42</v>
      </c>
      <c r="T20" s="694"/>
      <c r="U20" s="694"/>
      <c r="V20" s="694"/>
      <c r="W20" s="695"/>
      <c r="X20" s="19"/>
      <c r="Y20" s="19" t="s">
        <v>10</v>
      </c>
      <c r="Z20" s="19"/>
      <c r="AA20" s="19"/>
      <c r="AB20" s="19"/>
      <c r="AC20" s="19"/>
      <c r="AD20" s="19"/>
      <c r="AE20" s="19"/>
      <c r="AF20" s="19"/>
      <c r="AG20" s="19"/>
      <c r="AH20" s="19"/>
      <c r="AI20" s="696" t="s">
        <v>11</v>
      </c>
      <c r="AJ20" s="696"/>
      <c r="AK20" s="696"/>
      <c r="AL20" s="696"/>
      <c r="AM20" s="696"/>
      <c r="AN20" s="696"/>
      <c r="AO20" s="696"/>
      <c r="AP20" s="696"/>
      <c r="AQ20" s="696"/>
      <c r="AR20" s="696"/>
      <c r="AS20" s="696"/>
      <c r="AT20" s="696"/>
      <c r="AU20" s="696"/>
      <c r="AV20" s="696"/>
      <c r="AW20" s="696"/>
      <c r="AX20" s="19"/>
      <c r="AY20" s="19"/>
      <c r="AZ20" s="25"/>
      <c r="BA20" s="25"/>
      <c r="BB20" s="25"/>
      <c r="BC20" s="25"/>
      <c r="BD20" s="20"/>
      <c r="BE20" s="19"/>
      <c r="BF20" s="19"/>
      <c r="BG20" s="19"/>
      <c r="BH20" s="19"/>
      <c r="BI20" s="19"/>
      <c r="BJ20" s="19"/>
      <c r="BK20" s="19"/>
      <c r="BL20" s="19"/>
      <c r="BM20" s="19"/>
      <c r="BN20" s="19"/>
      <c r="BO20" s="19"/>
      <c r="BP20" s="19"/>
      <c r="BQ20" s="19"/>
      <c r="BR20" s="19"/>
      <c r="BS20" s="24"/>
      <c r="BT20" s="19"/>
      <c r="BU20" s="84"/>
      <c r="BV20" s="84"/>
      <c r="BW20" s="84"/>
      <c r="BX20" s="84"/>
      <c r="BY20" s="84"/>
      <c r="BZ20" s="19"/>
      <c r="CA20" s="19"/>
      <c r="CB20" s="19"/>
      <c r="CC20" s="19"/>
      <c r="CD20" s="19"/>
      <c r="CE20" s="19"/>
      <c r="CF20" s="19"/>
      <c r="CG20" s="19"/>
      <c r="CH20" s="19"/>
      <c r="CI20" s="19"/>
      <c r="CJ20" s="19"/>
      <c r="CK20" s="25"/>
      <c r="CL20" s="25"/>
      <c r="CM20" s="25"/>
      <c r="CN20" s="25"/>
      <c r="CO20" s="25"/>
      <c r="CP20" s="25"/>
      <c r="CQ20" s="25"/>
      <c r="CR20" s="25"/>
      <c r="CS20" s="25"/>
      <c r="CT20" s="25"/>
      <c r="CU20" s="25"/>
      <c r="CV20" s="25"/>
      <c r="CW20" s="25"/>
      <c r="CX20" s="25"/>
      <c r="CY20" s="25"/>
      <c r="CZ20" s="19"/>
      <c r="DA20" s="19"/>
      <c r="DB20" s="25"/>
      <c r="DC20" s="25"/>
      <c r="DD20" s="25"/>
      <c r="DE20" s="25"/>
    </row>
    <row r="21" spans="2:109" ht="2.25" hidden="1" customHeight="1" x14ac:dyDescent="0.3">
      <c r="C21" s="19"/>
      <c r="D21" s="19"/>
      <c r="E21" s="19"/>
      <c r="F21" s="19"/>
      <c r="G21" s="19"/>
      <c r="H21" s="19"/>
      <c r="I21" s="19"/>
      <c r="J21" s="19"/>
      <c r="K21" s="19"/>
      <c r="L21" s="19"/>
      <c r="M21" s="19"/>
      <c r="N21" s="19"/>
      <c r="O21" s="19"/>
      <c r="P21" s="19"/>
      <c r="Q21" s="26"/>
      <c r="R21" s="19"/>
      <c r="S21" s="27"/>
      <c r="T21" s="27"/>
      <c r="U21" s="27"/>
      <c r="V21" s="27"/>
      <c r="W21" s="27"/>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20"/>
      <c r="BE21" s="19"/>
      <c r="BF21" s="19"/>
      <c r="BG21" s="19"/>
      <c r="BH21" s="19"/>
      <c r="BI21" s="19"/>
      <c r="BJ21" s="19"/>
      <c r="BK21" s="19"/>
      <c r="BL21" s="19"/>
      <c r="BM21" s="19"/>
      <c r="BN21" s="19"/>
      <c r="BO21" s="19"/>
      <c r="BP21" s="19"/>
      <c r="BQ21" s="19"/>
      <c r="BR21" s="19"/>
      <c r="BS21" s="26"/>
      <c r="BT21" s="19"/>
      <c r="BU21" s="27"/>
      <c r="BV21" s="27"/>
      <c r="BW21" s="27"/>
      <c r="BX21" s="27"/>
      <c r="BY21" s="27"/>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row>
    <row r="22" spans="2:109" hidden="1" x14ac:dyDescent="0.3">
      <c r="C22" s="19"/>
      <c r="D22" s="19"/>
      <c r="E22" s="19"/>
      <c r="F22" s="19"/>
      <c r="G22" s="19"/>
      <c r="H22" s="19"/>
      <c r="I22" s="19"/>
      <c r="J22" s="19"/>
      <c r="K22" s="19"/>
      <c r="L22" s="19"/>
      <c r="M22" s="19"/>
      <c r="N22" s="19"/>
      <c r="O22" s="19"/>
      <c r="P22" s="19"/>
      <c r="Q22" s="28" t="s">
        <v>12</v>
      </c>
      <c r="R22" s="19"/>
      <c r="S22" s="697">
        <v>0</v>
      </c>
      <c r="T22" s="698"/>
      <c r="U22" s="698"/>
      <c r="V22" s="698"/>
      <c r="W22" s="699"/>
      <c r="X22" s="19"/>
      <c r="Y22" s="19" t="s">
        <v>13</v>
      </c>
      <c r="Z22" s="19"/>
      <c r="AA22" s="19"/>
      <c r="AB22" s="19"/>
      <c r="AC22" s="19"/>
      <c r="AD22" s="19"/>
      <c r="AE22" s="19"/>
      <c r="AF22" s="19"/>
      <c r="AG22" s="19"/>
      <c r="AH22" s="19"/>
      <c r="AI22" s="700">
        <v>3</v>
      </c>
      <c r="AJ22" s="700"/>
      <c r="AK22" s="700"/>
      <c r="AL22" s="19"/>
      <c r="AM22" s="701">
        <f>ROUNDUP(AE70*40*AY18,0)</f>
        <v>0</v>
      </c>
      <c r="AN22" s="701"/>
      <c r="AO22" s="701"/>
      <c r="AP22" s="19"/>
      <c r="AQ22" s="47" t="s">
        <v>14</v>
      </c>
      <c r="AR22" s="19"/>
      <c r="AS22" s="19"/>
      <c r="AT22" s="19"/>
      <c r="AU22" s="19"/>
      <c r="AV22" s="19"/>
      <c r="AW22" s="19"/>
      <c r="AX22" s="19"/>
      <c r="AY22" s="701">
        <f>ROUNDUP(AM22/8,0)</f>
        <v>0</v>
      </c>
      <c r="AZ22" s="701"/>
      <c r="BA22" s="701"/>
      <c r="BB22" s="19"/>
      <c r="BC22" s="19"/>
      <c r="BD22" s="20"/>
      <c r="BE22" s="19"/>
      <c r="BF22" s="19"/>
      <c r="BG22" s="19"/>
      <c r="BH22" s="19"/>
      <c r="BI22" s="19"/>
      <c r="BJ22" s="19"/>
      <c r="BK22" s="19"/>
      <c r="BL22" s="19"/>
      <c r="BM22" s="19"/>
      <c r="BN22" s="19"/>
      <c r="BO22" s="19"/>
      <c r="BP22" s="19"/>
      <c r="BQ22" s="19"/>
      <c r="BR22" s="19"/>
      <c r="BS22" s="28"/>
      <c r="BT22" s="19"/>
      <c r="BU22" s="84"/>
      <c r="BV22" s="84"/>
      <c r="BW22" s="84"/>
      <c r="BX22" s="84"/>
      <c r="BY22" s="84"/>
      <c r="BZ22" s="19"/>
      <c r="CA22" s="19"/>
      <c r="CB22" s="19"/>
      <c r="CC22" s="19"/>
      <c r="CD22" s="19"/>
      <c r="CE22" s="19"/>
      <c r="CF22" s="19"/>
      <c r="CG22" s="19"/>
      <c r="CH22" s="19"/>
      <c r="CI22" s="19"/>
      <c r="CJ22" s="19"/>
      <c r="CK22" s="85"/>
      <c r="CL22" s="85"/>
      <c r="CM22" s="85"/>
      <c r="CN22" s="19"/>
      <c r="CO22" s="25"/>
      <c r="CP22" s="25"/>
      <c r="CQ22" s="25"/>
      <c r="CR22" s="19"/>
      <c r="CS22" s="47"/>
      <c r="CT22" s="19"/>
      <c r="CU22" s="19"/>
      <c r="CV22" s="19"/>
      <c r="CW22" s="19"/>
      <c r="CX22" s="19"/>
      <c r="CY22" s="19"/>
      <c r="CZ22" s="19"/>
      <c r="DA22" s="25"/>
      <c r="DB22" s="25"/>
      <c r="DC22" s="25"/>
      <c r="DD22" s="19"/>
      <c r="DE22" s="19"/>
    </row>
    <row r="23" spans="2:109" ht="2.25" hidden="1" customHeight="1" x14ac:dyDescent="0.3">
      <c r="C23" s="19"/>
      <c r="D23" s="19"/>
      <c r="E23" s="19"/>
      <c r="F23" s="19"/>
      <c r="G23" s="19"/>
      <c r="H23" s="19"/>
      <c r="I23" s="19"/>
      <c r="J23" s="19"/>
      <c r="K23" s="19"/>
      <c r="L23" s="19"/>
      <c r="M23" s="19"/>
      <c r="N23" s="19"/>
      <c r="O23" s="19"/>
      <c r="P23" s="19"/>
      <c r="Q23" s="19"/>
      <c r="R23" s="19"/>
      <c r="S23" s="27"/>
      <c r="T23" s="27"/>
      <c r="U23" s="27"/>
      <c r="V23" s="27"/>
      <c r="W23" s="27"/>
      <c r="X23" s="19"/>
      <c r="Y23" s="19"/>
      <c r="Z23" s="19"/>
      <c r="AA23" s="19"/>
      <c r="AB23" s="19"/>
      <c r="AC23" s="19"/>
      <c r="AD23" s="19"/>
      <c r="AE23" s="19"/>
      <c r="AF23" s="19"/>
      <c r="AG23" s="19"/>
      <c r="AH23" s="19"/>
      <c r="AI23" s="700"/>
      <c r="AJ23" s="700"/>
      <c r="AK23" s="700"/>
      <c r="AL23" s="19"/>
      <c r="AM23" s="19"/>
      <c r="AN23" s="19"/>
      <c r="AO23" s="19"/>
      <c r="AP23" s="19"/>
      <c r="AQ23" s="19"/>
      <c r="AR23" s="19"/>
      <c r="AS23" s="19"/>
      <c r="AT23" s="19"/>
      <c r="AU23" s="19"/>
      <c r="AV23" s="19"/>
      <c r="AW23" s="19"/>
      <c r="AX23" s="19"/>
      <c r="AY23" s="19"/>
      <c r="AZ23" s="19"/>
      <c r="BA23" s="19"/>
      <c r="BB23" s="19"/>
      <c r="BC23" s="19"/>
      <c r="BD23" s="20"/>
      <c r="BE23" s="19"/>
      <c r="BF23" s="19"/>
      <c r="BG23" s="19"/>
      <c r="BH23" s="19"/>
      <c r="BI23" s="19"/>
      <c r="BJ23" s="19"/>
      <c r="BK23" s="19"/>
      <c r="BL23" s="19"/>
      <c r="BM23" s="19"/>
      <c r="BN23" s="19"/>
      <c r="BO23" s="19"/>
      <c r="BP23" s="19"/>
      <c r="BQ23" s="19"/>
      <c r="BR23" s="19"/>
      <c r="BS23" s="19"/>
      <c r="BT23" s="19"/>
      <c r="BU23" s="27"/>
      <c r="BV23" s="27"/>
      <c r="BW23" s="27"/>
      <c r="BX23" s="27"/>
      <c r="BY23" s="27"/>
      <c r="BZ23" s="19"/>
      <c r="CA23" s="19"/>
      <c r="CB23" s="19"/>
      <c r="CC23" s="19"/>
      <c r="CD23" s="19"/>
      <c r="CE23" s="19"/>
      <c r="CF23" s="19"/>
      <c r="CG23" s="19"/>
      <c r="CH23" s="19"/>
      <c r="CI23" s="19"/>
      <c r="CJ23" s="19"/>
      <c r="CK23" s="85"/>
      <c r="CL23" s="85"/>
      <c r="CM23" s="85"/>
      <c r="CN23" s="19"/>
      <c r="CO23" s="19"/>
      <c r="CP23" s="19"/>
      <c r="CQ23" s="19"/>
      <c r="CR23" s="19"/>
      <c r="CS23" s="19"/>
      <c r="CT23" s="19"/>
      <c r="CU23" s="19"/>
      <c r="CV23" s="19"/>
      <c r="CW23" s="19"/>
      <c r="CX23" s="19"/>
      <c r="CY23" s="19"/>
      <c r="CZ23" s="19"/>
      <c r="DA23" s="19"/>
      <c r="DB23" s="19"/>
      <c r="DC23" s="19"/>
      <c r="DD23" s="19"/>
      <c r="DE23" s="19"/>
    </row>
    <row r="24" spans="2:109" hidden="1" x14ac:dyDescent="0.3">
      <c r="C24" s="19"/>
      <c r="D24" s="19"/>
      <c r="E24" s="19"/>
      <c r="F24" s="19"/>
      <c r="G24" s="19"/>
      <c r="H24" s="19"/>
      <c r="I24" s="19"/>
      <c r="J24" s="19"/>
      <c r="K24" s="19"/>
      <c r="L24" s="19"/>
      <c r="M24" s="19"/>
      <c r="N24" s="19"/>
      <c r="O24" s="19"/>
      <c r="P24" s="19"/>
      <c r="Q24" s="24" t="s">
        <v>15</v>
      </c>
      <c r="R24" s="19"/>
      <c r="S24" s="693">
        <f>S20-S22</f>
        <v>0.42</v>
      </c>
      <c r="T24" s="694"/>
      <c r="U24" s="694"/>
      <c r="V24" s="694"/>
      <c r="W24" s="695"/>
      <c r="X24" s="19"/>
      <c r="Y24" s="19"/>
      <c r="Z24" s="19"/>
      <c r="AA24" s="19"/>
      <c r="AB24" s="19"/>
      <c r="AC24" s="19"/>
      <c r="AD24" s="19"/>
      <c r="AE24" s="19"/>
      <c r="AF24" s="19"/>
      <c r="AG24" s="19"/>
      <c r="AH24" s="19"/>
      <c r="AI24" s="700"/>
      <c r="AJ24" s="700"/>
      <c r="AK24" s="700"/>
      <c r="AL24" s="19"/>
      <c r="AM24" s="19"/>
      <c r="AN24" s="19"/>
      <c r="AO24" s="19"/>
      <c r="AP24" s="19"/>
      <c r="AQ24" s="19"/>
      <c r="AR24" s="19"/>
      <c r="AS24" s="24" t="s">
        <v>16</v>
      </c>
      <c r="AT24" s="19"/>
      <c r="AU24" s="19"/>
      <c r="AV24" s="19"/>
      <c r="AW24" s="19"/>
      <c r="AX24" s="19"/>
      <c r="AY24" s="681" t="s">
        <v>17</v>
      </c>
      <c r="AZ24" s="681"/>
      <c r="BA24" s="681"/>
      <c r="BB24" s="681"/>
      <c r="BC24" s="681"/>
      <c r="BD24" s="20"/>
      <c r="BE24" s="19"/>
      <c r="BF24" s="19"/>
      <c r="BG24" s="19"/>
      <c r="BH24" s="19"/>
      <c r="BI24" s="19"/>
      <c r="BJ24" s="19"/>
      <c r="BK24" s="19"/>
      <c r="BL24" s="19"/>
      <c r="BM24" s="19"/>
      <c r="BN24" s="19"/>
      <c r="BO24" s="19"/>
      <c r="BP24" s="19"/>
      <c r="BQ24" s="19"/>
      <c r="BR24" s="19"/>
      <c r="BS24" s="24"/>
      <c r="BT24" s="19"/>
      <c r="BU24" s="84"/>
      <c r="BV24" s="84"/>
      <c r="BW24" s="84"/>
      <c r="BX24" s="84"/>
      <c r="BY24" s="84"/>
      <c r="BZ24" s="19"/>
      <c r="CA24" s="19"/>
      <c r="CB24" s="19"/>
      <c r="CC24" s="19"/>
      <c r="CD24" s="19"/>
      <c r="CE24" s="19"/>
      <c r="CF24" s="19"/>
      <c r="CG24" s="19"/>
      <c r="CH24" s="19"/>
      <c r="CI24" s="19"/>
      <c r="CJ24" s="19"/>
      <c r="CK24" s="85"/>
      <c r="CL24" s="85"/>
      <c r="CM24" s="85"/>
      <c r="CN24" s="19"/>
      <c r="CO24" s="19"/>
      <c r="CP24" s="19"/>
      <c r="CQ24" s="19"/>
      <c r="CR24" s="19"/>
      <c r="CS24" s="19"/>
      <c r="CT24" s="19"/>
      <c r="CU24" s="24"/>
      <c r="CV24" s="19"/>
      <c r="CW24" s="19"/>
      <c r="CX24" s="19"/>
      <c r="CY24" s="19"/>
      <c r="CZ24" s="19"/>
      <c r="DA24" s="19"/>
      <c r="DB24" s="19"/>
      <c r="DC24" s="19"/>
      <c r="DD24" s="19"/>
      <c r="DE24" s="19"/>
    </row>
    <row r="25" spans="2:109" ht="2.25" hidden="1" customHeight="1" x14ac:dyDescent="0.3">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20"/>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row>
    <row r="26" spans="2:109" ht="7.5" hidden="1" customHeight="1" thickBot="1" x14ac:dyDescent="0.3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29"/>
      <c r="AJ26" s="29"/>
      <c r="AK26" s="29"/>
      <c r="AL26" s="29"/>
      <c r="AM26" s="29"/>
      <c r="AN26" s="29"/>
      <c r="AO26" s="29"/>
      <c r="AP26" s="29"/>
      <c r="AQ26" s="29"/>
      <c r="AR26" s="29"/>
      <c r="AS26" s="29"/>
      <c r="AT26" s="29"/>
      <c r="AU26" s="29"/>
      <c r="AV26" s="29"/>
      <c r="AW26" s="29"/>
      <c r="AX26" s="19"/>
      <c r="AY26" s="19"/>
      <c r="AZ26" s="19"/>
      <c r="BA26" s="19"/>
      <c r="BB26" s="19"/>
      <c r="BC26" s="19"/>
      <c r="BD26" s="20"/>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row>
    <row r="27" spans="2:109" ht="2.25" hidden="1" customHeight="1" thickTop="1" x14ac:dyDescent="0.3">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20"/>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row>
    <row r="28" spans="2:109" hidden="1" x14ac:dyDescent="0.3">
      <c r="C28" s="30"/>
      <c r="D28" s="19"/>
      <c r="E28" s="19"/>
      <c r="F28" s="19"/>
      <c r="G28" s="19"/>
      <c r="H28" s="19"/>
      <c r="I28" s="19"/>
      <c r="J28" s="19"/>
      <c r="K28" s="19"/>
      <c r="L28" s="19"/>
      <c r="M28" s="19"/>
      <c r="N28" s="19"/>
      <c r="O28" s="19"/>
      <c r="P28" s="19"/>
      <c r="Q28" s="19"/>
      <c r="R28" s="19"/>
      <c r="S28" s="681">
        <f>0.6*0.375</f>
        <v>0.22499999999999998</v>
      </c>
      <c r="T28" s="681"/>
      <c r="U28" s="681"/>
      <c r="V28" s="681"/>
      <c r="W28" s="681"/>
      <c r="X28" s="19"/>
      <c r="Y28" s="19"/>
      <c r="Z28" s="19"/>
      <c r="AA28" s="19"/>
      <c r="AB28" s="19"/>
      <c r="AC28" s="19"/>
      <c r="AD28" s="19"/>
      <c r="AE28" s="19"/>
      <c r="AF28" s="19"/>
      <c r="AG28" s="19"/>
      <c r="AH28" s="19"/>
      <c r="AI28" s="690" t="e">
        <f>AI22/AY22</f>
        <v>#DIV/0!</v>
      </c>
      <c r="AJ28" s="690"/>
      <c r="AK28" s="690"/>
      <c r="AL28" s="19"/>
      <c r="AM28" s="19" t="s">
        <v>18</v>
      </c>
      <c r="AN28" s="19"/>
      <c r="AO28" s="19"/>
      <c r="AP28" s="19"/>
      <c r="AQ28" s="19"/>
      <c r="AR28" s="19"/>
      <c r="AS28" s="19"/>
      <c r="AT28" s="19"/>
      <c r="AU28" s="19"/>
      <c r="AV28" s="19"/>
      <c r="AW28" s="19"/>
      <c r="AX28" s="19"/>
      <c r="AY28" s="19"/>
      <c r="AZ28" s="19"/>
      <c r="BA28" s="19"/>
      <c r="BB28" s="19"/>
      <c r="BC28" s="19"/>
      <c r="BD28" s="20"/>
      <c r="BE28" s="30"/>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86"/>
      <c r="CL28" s="86"/>
      <c r="CM28" s="86"/>
      <c r="CN28" s="19"/>
      <c r="CO28" s="19"/>
      <c r="CP28" s="19"/>
      <c r="CQ28" s="19"/>
      <c r="CR28" s="19"/>
      <c r="CS28" s="19"/>
      <c r="CT28" s="19"/>
      <c r="CU28" s="19"/>
      <c r="CV28" s="19"/>
      <c r="CW28" s="19"/>
      <c r="CX28" s="19"/>
      <c r="CY28" s="19"/>
      <c r="CZ28" s="19"/>
      <c r="DA28" s="19"/>
      <c r="DB28" s="19"/>
      <c r="DC28" s="19"/>
      <c r="DD28" s="19"/>
      <c r="DE28" s="19"/>
    </row>
    <row r="29" spans="2:109" ht="2.25" hidden="1" customHeight="1" x14ac:dyDescent="0.3">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20"/>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row>
    <row r="30" spans="2:109" hidden="1" x14ac:dyDescent="0.3">
      <c r="C30" s="19"/>
      <c r="E30" s="87"/>
      <c r="F30" s="87"/>
      <c r="G30" s="87"/>
      <c r="H30" s="87"/>
      <c r="I30" s="87"/>
      <c r="J30" s="87"/>
      <c r="K30" s="87"/>
      <c r="L30" s="87"/>
      <c r="M30" s="87"/>
      <c r="N30" s="87"/>
      <c r="O30" s="87"/>
      <c r="P30" s="87"/>
      <c r="AO30" s="19"/>
      <c r="AP30" s="19"/>
      <c r="AQ30" s="19"/>
      <c r="AR30" s="19"/>
      <c r="AS30" s="19"/>
      <c r="AT30" s="19"/>
      <c r="AU30" s="19"/>
      <c r="AV30" s="19"/>
      <c r="AW30" s="19"/>
      <c r="AX30" s="19"/>
      <c r="AY30" s="19"/>
      <c r="AZ30" s="19"/>
      <c r="BA30" s="19"/>
      <c r="BB30" s="19"/>
      <c r="BC30" s="19"/>
      <c r="BD30" s="20"/>
      <c r="BE30" s="19"/>
      <c r="BG30" s="87"/>
      <c r="BH30" s="87"/>
      <c r="BI30" s="87"/>
      <c r="BJ30" s="87"/>
      <c r="BK30" s="87"/>
      <c r="BL30" s="87"/>
      <c r="BM30" s="87"/>
      <c r="BN30" s="87"/>
      <c r="BO30" s="87"/>
      <c r="BP30" s="87"/>
      <c r="BQ30" s="87"/>
      <c r="BR30" s="87"/>
      <c r="CQ30" s="19"/>
      <c r="CR30" s="19"/>
      <c r="CS30" s="19"/>
      <c r="CT30" s="19"/>
      <c r="CU30" s="19"/>
      <c r="CV30" s="19"/>
      <c r="CW30" s="19"/>
      <c r="CX30" s="19"/>
      <c r="CY30" s="19"/>
      <c r="CZ30" s="19"/>
      <c r="DA30" s="19"/>
      <c r="DB30" s="19"/>
      <c r="DC30" s="19"/>
      <c r="DD30" s="19"/>
      <c r="DE30" s="19"/>
    </row>
    <row r="31" spans="2:109" ht="2.25" hidden="1" customHeight="1" x14ac:dyDescent="0.3">
      <c r="C31" s="19"/>
      <c r="E31" s="33"/>
      <c r="F31" s="33"/>
      <c r="G31" s="33"/>
      <c r="H31" s="33"/>
      <c r="I31" s="33"/>
      <c r="J31" s="33"/>
      <c r="K31" s="33"/>
      <c r="L31" s="33"/>
      <c r="M31" s="33"/>
      <c r="N31" s="33"/>
      <c r="O31" s="33"/>
      <c r="P31" s="33"/>
      <c r="AO31" s="19"/>
      <c r="AP31" s="19"/>
      <c r="AQ31" s="19"/>
      <c r="AR31" s="19"/>
      <c r="AS31" s="19"/>
      <c r="AT31" s="19"/>
      <c r="AU31" s="19"/>
      <c r="AV31" s="19"/>
      <c r="AW31" s="19"/>
      <c r="AX31" s="19"/>
      <c r="AY31" s="19"/>
      <c r="AZ31" s="19"/>
      <c r="BA31" s="19"/>
      <c r="BB31" s="19"/>
      <c r="BC31" s="19"/>
      <c r="BD31" s="20"/>
      <c r="BE31" s="19"/>
      <c r="BG31" s="33"/>
      <c r="BH31" s="33"/>
      <c r="BI31" s="33"/>
      <c r="BJ31" s="33"/>
      <c r="BK31" s="33"/>
      <c r="BL31" s="33"/>
      <c r="BM31" s="33"/>
      <c r="BN31" s="33"/>
      <c r="BO31" s="33"/>
      <c r="BP31" s="33"/>
      <c r="BQ31" s="33"/>
      <c r="BR31" s="33"/>
      <c r="CQ31" s="19"/>
      <c r="CR31" s="19"/>
      <c r="CS31" s="19"/>
      <c r="CT31" s="19"/>
      <c r="CU31" s="19"/>
      <c r="CV31" s="19"/>
      <c r="CW31" s="19"/>
      <c r="CX31" s="19"/>
      <c r="CY31" s="19"/>
      <c r="CZ31" s="19"/>
      <c r="DA31" s="19"/>
      <c r="DB31" s="19"/>
      <c r="DC31" s="19"/>
      <c r="DD31" s="19"/>
      <c r="DE31" s="19"/>
    </row>
    <row r="32" spans="2:109" hidden="1" x14ac:dyDescent="0.3">
      <c r="C32" s="30" t="s">
        <v>19</v>
      </c>
      <c r="D32" s="19"/>
      <c r="E32" s="19"/>
      <c r="F32" s="19"/>
      <c r="G32" s="19"/>
      <c r="H32" s="19"/>
      <c r="I32" s="19"/>
      <c r="J32" s="19"/>
      <c r="K32" s="19"/>
      <c r="L32" s="19"/>
      <c r="M32" s="19"/>
      <c r="N32" s="19"/>
      <c r="O32" s="19"/>
      <c r="P32" s="19"/>
      <c r="Q32" s="19"/>
      <c r="R32" s="19"/>
      <c r="S32" s="19"/>
      <c r="T32" s="19"/>
      <c r="U32" s="19"/>
      <c r="V32" s="19"/>
      <c r="W32" s="19"/>
      <c r="AD32" s="36"/>
      <c r="AF32" s="34"/>
      <c r="BD32" s="20"/>
      <c r="BE32" s="30"/>
      <c r="BF32" s="19"/>
      <c r="BG32" s="19"/>
      <c r="BH32" s="19"/>
      <c r="BI32" s="19"/>
      <c r="BJ32" s="19"/>
      <c r="BK32" s="19"/>
      <c r="BL32" s="19"/>
      <c r="BM32" s="19"/>
      <c r="BN32" s="19"/>
      <c r="BO32" s="19"/>
      <c r="BP32" s="19"/>
      <c r="BQ32" s="19"/>
      <c r="BR32" s="19"/>
      <c r="BS32" s="19"/>
      <c r="BT32" s="19"/>
      <c r="BU32" s="19"/>
      <c r="BV32" s="19"/>
      <c r="BW32" s="19"/>
      <c r="BX32" s="19"/>
      <c r="BY32" s="19"/>
      <c r="CF32" s="36"/>
      <c r="CH32" s="34"/>
    </row>
    <row r="33" spans="3:101" ht="2.25" hidden="1" customHeight="1" x14ac:dyDescent="0.3">
      <c r="C33" s="19"/>
      <c r="D33" s="19"/>
      <c r="E33" s="19"/>
      <c r="F33" s="19"/>
      <c r="G33" s="19"/>
      <c r="H33" s="19"/>
      <c r="I33" s="19"/>
      <c r="J33" s="19"/>
      <c r="K33" s="19"/>
      <c r="L33" s="19"/>
      <c r="M33" s="19"/>
      <c r="N33" s="19"/>
      <c r="O33" s="19"/>
      <c r="P33" s="19"/>
      <c r="Q33" s="19"/>
      <c r="R33" s="19"/>
      <c r="S33" s="19"/>
      <c r="T33" s="19"/>
      <c r="U33" s="19"/>
      <c r="V33" s="19"/>
      <c r="W33" s="19"/>
      <c r="BD33" s="20"/>
      <c r="BE33" s="19"/>
      <c r="BF33" s="19"/>
      <c r="BG33" s="19"/>
      <c r="BH33" s="19"/>
      <c r="BI33" s="19"/>
      <c r="BJ33" s="19"/>
      <c r="BK33" s="19"/>
      <c r="BL33" s="19"/>
      <c r="BM33" s="19"/>
      <c r="BN33" s="19"/>
      <c r="BO33" s="19"/>
      <c r="BP33" s="19"/>
      <c r="BQ33" s="19"/>
      <c r="BR33" s="19"/>
      <c r="BS33" s="19"/>
      <c r="BT33" s="19"/>
      <c r="BU33" s="19"/>
      <c r="BV33" s="19"/>
      <c r="BW33" s="19"/>
      <c r="BX33" s="19"/>
      <c r="BY33" s="19"/>
    </row>
    <row r="34" spans="3:101" hidden="1" x14ac:dyDescent="0.3">
      <c r="C34" s="19"/>
      <c r="D34" s="19"/>
      <c r="E34" s="702" t="s">
        <v>20</v>
      </c>
      <c r="F34" s="702"/>
      <c r="G34" s="702"/>
      <c r="H34" s="572"/>
      <c r="I34" s="703" t="s">
        <v>21</v>
      </c>
      <c r="J34" s="703"/>
      <c r="K34" s="703"/>
      <c r="L34" s="703"/>
      <c r="M34" s="703"/>
      <c r="N34" s="572"/>
      <c r="O34" s="704" t="s">
        <v>22</v>
      </c>
      <c r="P34" s="704"/>
      <c r="Q34" s="704"/>
      <c r="R34" s="704"/>
      <c r="S34" s="704"/>
      <c r="T34" s="704"/>
      <c r="U34" s="704"/>
      <c r="V34" s="704"/>
      <c r="W34" s="704"/>
      <c r="BD34" s="20"/>
      <c r="BE34" s="19"/>
      <c r="BF34" s="19"/>
      <c r="BG34" s="28"/>
      <c r="BH34" s="28"/>
      <c r="BI34" s="28"/>
      <c r="BJ34" s="26"/>
      <c r="BK34" s="89"/>
      <c r="BL34" s="89"/>
      <c r="BM34" s="89"/>
      <c r="BN34" s="89"/>
      <c r="BO34" s="89"/>
      <c r="BP34" s="26"/>
      <c r="BQ34" s="26"/>
      <c r="BR34" s="26"/>
      <c r="BS34" s="26"/>
      <c r="BT34" s="26"/>
      <c r="BU34" s="26"/>
      <c r="BV34" s="26"/>
      <c r="BW34" s="26"/>
      <c r="BX34" s="26"/>
      <c r="BY34" s="26"/>
    </row>
    <row r="35" spans="3:101" ht="2.25" hidden="1" customHeight="1" x14ac:dyDescent="0.3">
      <c r="BD35" s="20"/>
    </row>
    <row r="36" spans="3:101" hidden="1" x14ac:dyDescent="0.3">
      <c r="E36" s="686">
        <v>0</v>
      </c>
      <c r="F36" s="686"/>
      <c r="G36" s="686"/>
      <c r="I36" s="681"/>
      <c r="J36" s="681"/>
      <c r="K36" s="681"/>
      <c r="L36" s="681"/>
      <c r="M36" s="681"/>
      <c r="N36" s="19"/>
      <c r="O36" s="19" t="s">
        <v>23</v>
      </c>
      <c r="P36" s="19"/>
      <c r="Q36" s="38"/>
      <c r="AP36" s="19"/>
      <c r="AQ36" s="19"/>
      <c r="AR36" s="19"/>
      <c r="AS36" s="688">
        <f>YEAR(AM62)</f>
        <v>2020</v>
      </c>
      <c r="AT36" s="688"/>
      <c r="AU36" s="688"/>
      <c r="BD36" s="20"/>
      <c r="BG36" s="90"/>
      <c r="BH36" s="90"/>
      <c r="BI36" s="90"/>
      <c r="BK36" s="19"/>
      <c r="BL36" s="19"/>
      <c r="BM36" s="19"/>
      <c r="BN36" s="19"/>
      <c r="BO36" s="19"/>
      <c r="BP36" s="19"/>
      <c r="BQ36" s="19"/>
      <c r="BR36" s="19"/>
      <c r="BS36" s="38"/>
      <c r="CR36" s="19"/>
      <c r="CS36" s="19"/>
      <c r="CT36" s="19"/>
      <c r="CU36" s="47"/>
      <c r="CV36" s="47"/>
      <c r="CW36" s="47"/>
    </row>
    <row r="37" spans="3:101" ht="2.25" hidden="1" customHeight="1" x14ac:dyDescent="0.3">
      <c r="E37" s="19"/>
      <c r="F37" s="19"/>
      <c r="G37" s="19"/>
      <c r="I37" s="19"/>
      <c r="J37" s="19"/>
      <c r="K37" s="19"/>
      <c r="L37" s="19"/>
      <c r="M37" s="19"/>
      <c r="N37" s="19"/>
      <c r="O37" s="19"/>
      <c r="P37" s="19"/>
      <c r="Q37" s="38"/>
      <c r="AO37" s="19"/>
      <c r="AP37" s="19"/>
      <c r="AQ37" s="24" t="s">
        <v>24</v>
      </c>
      <c r="AR37" s="19"/>
      <c r="AS37" s="688">
        <f>YEAR(O76)</f>
        <v>2021</v>
      </c>
      <c r="AT37" s="688"/>
      <c r="AU37" s="688"/>
      <c r="BD37" s="20"/>
      <c r="BG37" s="19"/>
      <c r="BH37" s="19"/>
      <c r="BI37" s="19"/>
      <c r="BK37" s="19"/>
      <c r="BL37" s="19"/>
      <c r="BM37" s="19"/>
      <c r="BN37" s="19"/>
      <c r="BO37" s="19"/>
      <c r="BP37" s="19"/>
      <c r="BQ37" s="19"/>
      <c r="BR37" s="19"/>
      <c r="BS37" s="38"/>
      <c r="CQ37" s="19"/>
      <c r="CR37" s="19"/>
      <c r="CS37" s="24"/>
      <c r="CT37" s="19"/>
      <c r="CU37" s="47"/>
      <c r="CV37" s="47"/>
      <c r="CW37" s="47"/>
    </row>
    <row r="38" spans="3:101" hidden="1" x14ac:dyDescent="0.3">
      <c r="E38" s="680">
        <v>40</v>
      </c>
      <c r="F38" s="680"/>
      <c r="G38" s="680"/>
      <c r="I38" s="681"/>
      <c r="J38" s="681"/>
      <c r="K38" s="681"/>
      <c r="L38" s="681"/>
      <c r="M38" s="681"/>
      <c r="N38" s="19"/>
      <c r="O38" s="19" t="s">
        <v>25</v>
      </c>
      <c r="P38" s="19"/>
      <c r="Q38" s="38"/>
      <c r="AO38" s="19"/>
      <c r="AP38" s="19"/>
      <c r="AQ38" s="24" t="s">
        <v>26</v>
      </c>
      <c r="AR38" s="19"/>
      <c r="AS38" s="688">
        <f>YEAR(O84)</f>
        <v>2022</v>
      </c>
      <c r="AT38" s="688"/>
      <c r="AU38" s="688"/>
      <c r="BD38" s="20"/>
      <c r="BG38" s="90"/>
      <c r="BH38" s="90"/>
      <c r="BI38" s="90"/>
      <c r="BK38" s="19"/>
      <c r="BL38" s="19"/>
      <c r="BM38" s="19"/>
      <c r="BN38" s="19"/>
      <c r="BO38" s="19"/>
      <c r="BP38" s="19"/>
      <c r="BQ38" s="19"/>
      <c r="BR38" s="19"/>
      <c r="BS38" s="38"/>
      <c r="CQ38" s="19"/>
      <c r="CR38" s="19"/>
      <c r="CS38" s="24"/>
      <c r="CT38" s="19"/>
      <c r="CU38" s="47"/>
      <c r="CV38" s="47"/>
      <c r="CW38" s="47"/>
    </row>
    <row r="39" spans="3:101" ht="2.25" hidden="1" customHeight="1" x14ac:dyDescent="0.3">
      <c r="E39" s="39"/>
      <c r="F39" s="39"/>
      <c r="G39" s="39"/>
      <c r="I39" s="19"/>
      <c r="J39" s="19"/>
      <c r="K39" s="19"/>
      <c r="L39" s="19"/>
      <c r="M39" s="19"/>
      <c r="N39" s="19"/>
      <c r="O39" s="19"/>
      <c r="P39" s="19"/>
      <c r="Q39" s="38"/>
      <c r="AO39" s="19"/>
      <c r="AP39" s="19"/>
      <c r="AQ39" s="24" t="s">
        <v>27</v>
      </c>
      <c r="AR39" s="19"/>
      <c r="AS39" s="688">
        <f>YEAR(O92)</f>
        <v>2023</v>
      </c>
      <c r="AT39" s="688"/>
      <c r="AU39" s="688"/>
      <c r="BD39" s="20"/>
      <c r="BG39" s="39"/>
      <c r="BH39" s="39"/>
      <c r="BI39" s="39"/>
      <c r="BK39" s="19"/>
      <c r="BL39" s="19"/>
      <c r="BM39" s="19"/>
      <c r="BN39" s="19"/>
      <c r="BO39" s="19"/>
      <c r="BP39" s="19"/>
      <c r="BQ39" s="19"/>
      <c r="BR39" s="19"/>
      <c r="BS39" s="38"/>
      <c r="CQ39" s="19"/>
      <c r="CR39" s="19"/>
      <c r="CS39" s="24"/>
      <c r="CT39" s="19"/>
      <c r="CU39" s="47"/>
      <c r="CV39" s="47"/>
      <c r="CW39" s="47"/>
    </row>
    <row r="40" spans="3:101" hidden="1" x14ac:dyDescent="0.3">
      <c r="E40" s="680">
        <v>56</v>
      </c>
      <c r="F40" s="680"/>
      <c r="G40" s="680"/>
      <c r="I40" s="681"/>
      <c r="J40" s="681"/>
      <c r="K40" s="681"/>
      <c r="L40" s="681"/>
      <c r="M40" s="681"/>
      <c r="N40" s="19"/>
      <c r="O40" s="19" t="s">
        <v>28</v>
      </c>
      <c r="P40" s="19"/>
      <c r="Q40" s="38"/>
      <c r="AO40" s="19"/>
      <c r="AP40" s="19"/>
      <c r="AQ40" s="24" t="s">
        <v>29</v>
      </c>
      <c r="AR40" s="19"/>
      <c r="AS40" s="688">
        <f>YEAR(O100)</f>
        <v>2024</v>
      </c>
      <c r="AT40" s="688"/>
      <c r="AU40" s="688"/>
      <c r="BD40" s="20"/>
      <c r="BG40" s="90"/>
      <c r="BH40" s="90"/>
      <c r="BI40" s="90"/>
      <c r="BK40" s="19"/>
      <c r="BL40" s="19"/>
      <c r="BM40" s="19"/>
      <c r="BN40" s="19"/>
      <c r="BO40" s="19"/>
      <c r="BP40" s="19"/>
      <c r="BQ40" s="19"/>
      <c r="BR40" s="19"/>
      <c r="BS40" s="38"/>
      <c r="CQ40" s="19"/>
      <c r="CR40" s="19"/>
      <c r="CS40" s="24"/>
      <c r="CT40" s="19"/>
      <c r="CU40" s="47"/>
      <c r="CV40" s="47"/>
      <c r="CW40" s="47"/>
    </row>
    <row r="41" spans="3:101" ht="2.25" hidden="1" customHeight="1" x14ac:dyDescent="0.3">
      <c r="E41" s="40"/>
      <c r="F41" s="40"/>
      <c r="G41" s="40"/>
      <c r="I41" s="19"/>
      <c r="J41" s="19"/>
      <c r="K41" s="19"/>
      <c r="L41" s="19"/>
      <c r="M41" s="19"/>
      <c r="N41" s="19"/>
      <c r="O41" s="19"/>
      <c r="P41" s="19"/>
      <c r="Q41" s="38"/>
      <c r="AM41" s="41"/>
      <c r="AN41" s="42"/>
      <c r="AO41" s="19"/>
      <c r="AP41" s="19"/>
      <c r="AQ41" s="24" t="s">
        <v>30</v>
      </c>
      <c r="AR41" s="19"/>
      <c r="AS41" s="687">
        <f>YEAR(AA92)+1</f>
        <v>2025</v>
      </c>
      <c r="AT41" s="687"/>
      <c r="AU41" s="687"/>
      <c r="BD41" s="20"/>
      <c r="BG41" s="40"/>
      <c r="BH41" s="40"/>
      <c r="BI41" s="40"/>
      <c r="BK41" s="19"/>
      <c r="BL41" s="19"/>
      <c r="BM41" s="19"/>
      <c r="BN41" s="19"/>
      <c r="BO41" s="19"/>
      <c r="BP41" s="19"/>
      <c r="BQ41" s="19"/>
      <c r="BR41" s="19"/>
      <c r="BS41" s="38"/>
      <c r="CO41" s="41"/>
      <c r="CP41" s="42"/>
      <c r="CQ41" s="19"/>
      <c r="CR41" s="19"/>
      <c r="CS41" s="24"/>
      <c r="CT41" s="19"/>
      <c r="CU41" s="91"/>
      <c r="CV41" s="91"/>
      <c r="CW41" s="91"/>
    </row>
    <row r="42" spans="3:101" hidden="1" x14ac:dyDescent="0.3">
      <c r="E42" s="689">
        <v>55</v>
      </c>
      <c r="F42" s="689"/>
      <c r="G42" s="689"/>
      <c r="I42" s="681"/>
      <c r="J42" s="681"/>
      <c r="K42" s="681"/>
      <c r="L42" s="681"/>
      <c r="M42" s="681"/>
      <c r="N42" s="19"/>
      <c r="O42" s="19" t="s">
        <v>31</v>
      </c>
      <c r="P42" s="19"/>
      <c r="Q42" s="38"/>
      <c r="AO42" s="19"/>
      <c r="AP42" s="19"/>
      <c r="AQ42" s="24" t="s">
        <v>32</v>
      </c>
      <c r="AR42" s="19"/>
      <c r="AS42" s="687">
        <f>YEAR(AA100)+1</f>
        <v>2026</v>
      </c>
      <c r="AT42" s="687"/>
      <c r="AU42" s="687"/>
      <c r="BD42" s="20"/>
      <c r="BG42" s="92"/>
      <c r="BH42" s="92"/>
      <c r="BI42" s="92"/>
      <c r="BK42" s="19"/>
      <c r="BL42" s="19"/>
      <c r="BM42" s="19"/>
      <c r="BN42" s="19"/>
      <c r="BO42" s="19"/>
      <c r="BP42" s="19"/>
      <c r="BQ42" s="19"/>
      <c r="BR42" s="19"/>
      <c r="BS42" s="38"/>
      <c r="CQ42" s="19"/>
      <c r="CR42" s="19"/>
      <c r="CS42" s="24"/>
      <c r="CT42" s="19"/>
      <c r="CU42" s="91"/>
      <c r="CV42" s="91"/>
      <c r="CW42" s="91"/>
    </row>
    <row r="43" spans="3:101" ht="2.25" hidden="1" customHeight="1" x14ac:dyDescent="0.3">
      <c r="E43" s="40"/>
      <c r="F43" s="40"/>
      <c r="G43" s="40"/>
      <c r="I43" s="19"/>
      <c r="J43" s="19"/>
      <c r="K43" s="19"/>
      <c r="L43" s="19"/>
      <c r="M43" s="19"/>
      <c r="N43" s="19"/>
      <c r="O43" s="19"/>
      <c r="P43" s="19"/>
      <c r="Q43" s="38"/>
      <c r="BD43" s="20"/>
      <c r="BG43" s="40"/>
      <c r="BH43" s="40"/>
      <c r="BI43" s="40"/>
      <c r="BK43" s="19"/>
      <c r="BL43" s="19"/>
      <c r="BM43" s="19"/>
      <c r="BN43" s="19"/>
      <c r="BO43" s="19"/>
      <c r="BP43" s="19"/>
      <c r="BQ43" s="19"/>
      <c r="BR43" s="19"/>
      <c r="BS43" s="38"/>
    </row>
    <row r="44" spans="3:101" hidden="1" x14ac:dyDescent="0.3">
      <c r="E44" s="680">
        <v>175</v>
      </c>
      <c r="F44" s="680"/>
      <c r="G44" s="680"/>
      <c r="I44" s="681"/>
      <c r="J44" s="681"/>
      <c r="K44" s="681"/>
      <c r="L44" s="681"/>
      <c r="M44" s="681"/>
      <c r="N44" s="19"/>
      <c r="O44" s="19" t="s">
        <v>33</v>
      </c>
      <c r="P44" s="19"/>
      <c r="Q44" s="38"/>
      <c r="BD44" s="20"/>
      <c r="BG44" s="90"/>
      <c r="BH44" s="90"/>
      <c r="BI44" s="90"/>
      <c r="BK44" s="19"/>
      <c r="BL44" s="19"/>
      <c r="BM44" s="19"/>
      <c r="BN44" s="19"/>
      <c r="BO44" s="19"/>
      <c r="BP44" s="19"/>
      <c r="BQ44" s="19"/>
      <c r="BR44" s="19"/>
      <c r="BS44" s="38"/>
    </row>
    <row r="45" spans="3:101" ht="2.25" hidden="1" customHeight="1" x14ac:dyDescent="0.3">
      <c r="E45" s="19"/>
      <c r="F45" s="19"/>
      <c r="G45" s="19"/>
      <c r="I45" s="19"/>
      <c r="J45" s="19"/>
      <c r="K45" s="19"/>
      <c r="L45" s="19"/>
      <c r="M45" s="19"/>
      <c r="N45" s="19"/>
      <c r="O45" s="19"/>
      <c r="P45" s="19"/>
      <c r="Q45" s="38"/>
      <c r="BD45" s="20"/>
      <c r="BG45" s="19"/>
      <c r="BH45" s="19"/>
      <c r="BI45" s="19"/>
      <c r="BK45" s="19"/>
      <c r="BL45" s="19"/>
      <c r="BM45" s="19"/>
      <c r="BN45" s="19"/>
      <c r="BO45" s="19"/>
      <c r="BP45" s="19"/>
      <c r="BQ45" s="19"/>
      <c r="BR45" s="19"/>
      <c r="BS45" s="38"/>
    </row>
    <row r="46" spans="3:101" hidden="1" x14ac:dyDescent="0.3">
      <c r="E46" s="685">
        <v>0.23</v>
      </c>
      <c r="F46" s="685"/>
      <c r="G46" s="685"/>
      <c r="I46" s="681"/>
      <c r="J46" s="681"/>
      <c r="K46" s="681"/>
      <c r="L46" s="681"/>
      <c r="M46" s="681"/>
      <c r="N46" s="19"/>
      <c r="O46" s="19" t="s">
        <v>34</v>
      </c>
      <c r="P46" s="19"/>
      <c r="Q46" s="38"/>
      <c r="BD46" s="20"/>
      <c r="BG46" s="44"/>
      <c r="BH46" s="44"/>
      <c r="BI46" s="44"/>
      <c r="BK46" s="19"/>
      <c r="BL46" s="19"/>
      <c r="BM46" s="19"/>
      <c r="BN46" s="19"/>
      <c r="BO46" s="19"/>
      <c r="BP46" s="19"/>
      <c r="BQ46" s="19"/>
      <c r="BR46" s="19"/>
      <c r="BS46" s="38"/>
    </row>
    <row r="47" spans="3:101" ht="2.25" hidden="1" customHeight="1" x14ac:dyDescent="0.3">
      <c r="E47" s="19"/>
      <c r="F47" s="19"/>
      <c r="G47" s="19"/>
      <c r="I47" s="19"/>
      <c r="J47" s="19"/>
      <c r="K47" s="19"/>
      <c r="L47" s="19"/>
      <c r="M47" s="19"/>
      <c r="N47" s="19"/>
      <c r="O47" s="19"/>
      <c r="P47" s="19"/>
      <c r="Q47" s="38"/>
      <c r="BD47" s="20"/>
      <c r="BG47" s="19"/>
      <c r="BH47" s="19"/>
      <c r="BI47" s="19"/>
      <c r="BK47" s="19"/>
      <c r="BL47" s="19"/>
      <c r="BM47" s="19"/>
      <c r="BN47" s="19"/>
      <c r="BO47" s="19"/>
      <c r="BP47" s="19"/>
      <c r="BQ47" s="19"/>
      <c r="BR47" s="19"/>
      <c r="BS47" s="38"/>
    </row>
    <row r="48" spans="3:101" hidden="1" x14ac:dyDescent="0.3">
      <c r="E48" s="680"/>
      <c r="F48" s="680"/>
      <c r="G48" s="680"/>
      <c r="I48" s="681"/>
      <c r="J48" s="681"/>
      <c r="K48" s="681"/>
      <c r="L48" s="681"/>
      <c r="M48" s="681"/>
      <c r="N48" s="19"/>
      <c r="O48" s="19" t="s">
        <v>35</v>
      </c>
      <c r="P48" s="19"/>
      <c r="Q48" s="38"/>
      <c r="AG48" s="23"/>
      <c r="BD48" s="20"/>
      <c r="BG48" s="90"/>
      <c r="BH48" s="90"/>
      <c r="BI48" s="90"/>
      <c r="BK48" s="19"/>
      <c r="BL48" s="19"/>
      <c r="BM48" s="19"/>
      <c r="BN48" s="19"/>
      <c r="BO48" s="19"/>
      <c r="BP48" s="19"/>
      <c r="BQ48" s="19"/>
      <c r="BR48" s="19"/>
      <c r="BS48" s="38"/>
      <c r="CI48" s="23"/>
    </row>
    <row r="49" spans="3:105" ht="2.25" hidden="1" customHeight="1" x14ac:dyDescent="0.3">
      <c r="E49" s="39"/>
      <c r="F49" s="39"/>
      <c r="G49" s="39"/>
      <c r="I49" s="19"/>
      <c r="J49" s="19"/>
      <c r="K49" s="19"/>
      <c r="L49" s="19"/>
      <c r="M49" s="19"/>
      <c r="N49" s="19"/>
      <c r="O49" s="19"/>
      <c r="P49" s="19"/>
      <c r="Q49" s="38"/>
      <c r="BD49" s="20"/>
      <c r="BG49" s="39"/>
      <c r="BH49" s="39"/>
      <c r="BI49" s="39"/>
      <c r="BK49" s="19"/>
      <c r="BL49" s="19"/>
      <c r="BM49" s="19"/>
      <c r="BN49" s="19"/>
      <c r="BO49" s="19"/>
      <c r="BP49" s="19"/>
      <c r="BQ49" s="19"/>
      <c r="BR49" s="19"/>
      <c r="BS49" s="38"/>
    </row>
    <row r="50" spans="3:105" hidden="1" x14ac:dyDescent="0.3">
      <c r="E50" s="680"/>
      <c r="F50" s="680"/>
      <c r="G50" s="680"/>
      <c r="I50" s="681"/>
      <c r="J50" s="681"/>
      <c r="K50" s="681"/>
      <c r="L50" s="681"/>
      <c r="M50" s="681"/>
      <c r="N50" s="19"/>
      <c r="O50" s="19" t="s">
        <v>36</v>
      </c>
      <c r="P50" s="19"/>
      <c r="Q50" s="38"/>
      <c r="BD50" s="20"/>
      <c r="BG50" s="90"/>
      <c r="BH50" s="90"/>
      <c r="BI50" s="90"/>
      <c r="BK50" s="19"/>
      <c r="BL50" s="19"/>
      <c r="BM50" s="19"/>
      <c r="BN50" s="19"/>
      <c r="BO50" s="19"/>
      <c r="BP50" s="19"/>
      <c r="BQ50" s="19"/>
      <c r="BR50" s="19"/>
      <c r="BS50" s="38"/>
    </row>
    <row r="51" spans="3:105" ht="2.25" hidden="1" customHeight="1" x14ac:dyDescent="0.3">
      <c r="E51" s="19"/>
      <c r="F51" s="19"/>
      <c r="G51" s="19"/>
      <c r="I51" s="19"/>
      <c r="J51" s="19"/>
      <c r="K51" s="19"/>
      <c r="L51" s="19"/>
      <c r="M51" s="19"/>
      <c r="N51" s="19"/>
      <c r="O51" s="19"/>
      <c r="P51" s="19"/>
      <c r="Q51" s="38"/>
      <c r="BD51" s="20"/>
      <c r="BG51" s="19"/>
      <c r="BH51" s="19"/>
      <c r="BI51" s="19"/>
      <c r="BK51" s="19"/>
      <c r="BL51" s="19"/>
      <c r="BM51" s="19"/>
      <c r="BN51" s="19"/>
      <c r="BO51" s="19"/>
      <c r="BP51" s="19"/>
      <c r="BQ51" s="19"/>
      <c r="BR51" s="19"/>
      <c r="BS51" s="38"/>
    </row>
    <row r="52" spans="3:105" hidden="1" x14ac:dyDescent="0.3">
      <c r="E52" s="684"/>
      <c r="F52" s="685"/>
      <c r="G52" s="685"/>
      <c r="I52" s="681"/>
      <c r="J52" s="681"/>
      <c r="K52" s="681"/>
      <c r="L52" s="681"/>
      <c r="M52" s="681"/>
      <c r="N52" s="19"/>
      <c r="O52" s="19"/>
      <c r="P52" s="19"/>
      <c r="Q52" s="38"/>
      <c r="BD52" s="20"/>
      <c r="BG52" s="44"/>
      <c r="BH52" s="44"/>
      <c r="BI52" s="44"/>
      <c r="BK52" s="19"/>
      <c r="BL52" s="19"/>
      <c r="BM52" s="19"/>
      <c r="BN52" s="19"/>
      <c r="BO52" s="19"/>
      <c r="BP52" s="19"/>
      <c r="BQ52" s="19"/>
      <c r="BR52" s="19"/>
      <c r="BS52" s="38"/>
    </row>
    <row r="53" spans="3:105" ht="2.25" hidden="1" customHeight="1" x14ac:dyDescent="0.3">
      <c r="E53" s="19"/>
      <c r="F53" s="19"/>
      <c r="G53" s="19"/>
      <c r="I53" s="19"/>
      <c r="J53" s="19"/>
      <c r="K53" s="19"/>
      <c r="L53" s="19"/>
      <c r="M53" s="19"/>
      <c r="N53" s="19"/>
      <c r="O53" s="19"/>
      <c r="P53" s="19"/>
      <c r="Q53" s="38"/>
      <c r="BD53" s="20"/>
      <c r="BG53" s="19"/>
      <c r="BH53" s="19"/>
      <c r="BI53" s="19"/>
      <c r="BK53" s="19"/>
      <c r="BL53" s="19"/>
      <c r="BM53" s="19"/>
      <c r="BN53" s="19"/>
      <c r="BO53" s="19"/>
      <c r="BP53" s="19"/>
      <c r="BQ53" s="19"/>
      <c r="BR53" s="19"/>
      <c r="BS53" s="38"/>
    </row>
    <row r="54" spans="3:105" hidden="1" x14ac:dyDescent="0.3">
      <c r="E54" s="680"/>
      <c r="F54" s="680"/>
      <c r="G54" s="680"/>
      <c r="I54" s="681"/>
      <c r="J54" s="681"/>
      <c r="K54" s="681"/>
      <c r="L54" s="681"/>
      <c r="M54" s="681"/>
      <c r="N54" s="19"/>
      <c r="O54" s="19"/>
      <c r="P54" s="19"/>
      <c r="Q54" s="38"/>
      <c r="BD54" s="20"/>
      <c r="BG54" s="90"/>
      <c r="BH54" s="90"/>
      <c r="BI54" s="90"/>
      <c r="BK54" s="19"/>
      <c r="BL54" s="19"/>
      <c r="BM54" s="19"/>
      <c r="BN54" s="19"/>
      <c r="BO54" s="19"/>
      <c r="BP54" s="19"/>
      <c r="BQ54" s="19"/>
      <c r="BR54" s="19"/>
      <c r="BS54" s="38"/>
    </row>
    <row r="55" spans="3:105" ht="2.25" hidden="1" customHeight="1" x14ac:dyDescent="0.3">
      <c r="E55" s="39"/>
      <c r="F55" s="39"/>
      <c r="G55" s="39"/>
      <c r="I55" s="19"/>
      <c r="J55" s="19"/>
      <c r="K55" s="19"/>
      <c r="L55" s="19"/>
      <c r="M55" s="19"/>
      <c r="N55" s="19"/>
      <c r="O55" s="19"/>
      <c r="P55" s="19"/>
      <c r="Q55" s="38"/>
      <c r="BD55" s="20"/>
      <c r="BG55" s="39"/>
      <c r="BH55" s="39"/>
      <c r="BI55" s="39"/>
      <c r="BK55" s="19"/>
      <c r="BL55" s="19"/>
      <c r="BM55" s="19"/>
      <c r="BN55" s="19"/>
      <c r="BO55" s="19"/>
      <c r="BP55" s="19"/>
      <c r="BQ55" s="19"/>
      <c r="BR55" s="19"/>
      <c r="BS55" s="38"/>
    </row>
    <row r="56" spans="3:105" hidden="1" x14ac:dyDescent="0.3">
      <c r="E56" s="680"/>
      <c r="F56" s="680"/>
      <c r="G56" s="680"/>
      <c r="I56" s="681"/>
      <c r="J56" s="681"/>
      <c r="K56" s="681"/>
      <c r="L56" s="681"/>
      <c r="M56" s="681"/>
      <c r="N56" s="19"/>
      <c r="O56" s="19"/>
      <c r="P56" s="19"/>
      <c r="Q56" s="38"/>
      <c r="AY56" s="682"/>
      <c r="AZ56" s="682"/>
      <c r="BA56" s="682"/>
      <c r="BD56" s="20"/>
      <c r="BG56" s="90"/>
      <c r="BH56" s="90"/>
      <c r="BI56" s="90"/>
      <c r="BK56" s="19"/>
      <c r="BL56" s="19"/>
      <c r="BM56" s="19"/>
      <c r="BN56" s="19"/>
      <c r="BO56" s="19"/>
      <c r="BP56" s="19"/>
      <c r="BQ56" s="19"/>
      <c r="BR56" s="19"/>
      <c r="BS56" s="38"/>
    </row>
    <row r="57" spans="3:105" ht="2.25" hidden="1" customHeight="1" x14ac:dyDescent="0.3">
      <c r="BD57" s="20"/>
    </row>
    <row r="58" spans="3:105" hidden="1" x14ac:dyDescent="0.3">
      <c r="C58" s="23"/>
      <c r="E58" s="23"/>
      <c r="BD58" s="20"/>
      <c r="BE58" s="23"/>
      <c r="BG58" s="23"/>
    </row>
    <row r="59" spans="3:105" ht="2.25" hidden="1" customHeight="1" x14ac:dyDescent="0.3">
      <c r="BD59" s="20"/>
    </row>
    <row r="60" spans="3:105" hidden="1" x14ac:dyDescent="0.3">
      <c r="C60" s="30" t="s">
        <v>37</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G60" s="683" t="s">
        <v>38</v>
      </c>
      <c r="AH60" s="683"/>
      <c r="AI60" s="683"/>
      <c r="AJ60" s="683"/>
      <c r="AK60" s="683"/>
      <c r="AL60" s="683"/>
      <c r="AM60" s="683"/>
      <c r="AN60" s="683"/>
      <c r="AO60" s="683"/>
      <c r="AP60" s="683"/>
      <c r="AQ60" s="683"/>
      <c r="AR60" s="683"/>
      <c r="AS60" s="683"/>
      <c r="AT60" s="683"/>
      <c r="AU60" s="683"/>
      <c r="AV60" s="683"/>
      <c r="AW60" s="683"/>
      <c r="AX60" s="683"/>
      <c r="AY60" s="683"/>
      <c r="BD60" s="20"/>
      <c r="BE60" s="30"/>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I60" s="80"/>
      <c r="CJ60" s="80"/>
      <c r="CK60" s="80"/>
      <c r="CL60" s="80"/>
      <c r="CM60" s="80"/>
      <c r="CN60" s="80"/>
      <c r="CO60" s="80"/>
      <c r="CP60" s="80"/>
      <c r="CQ60" s="80"/>
      <c r="CR60" s="80"/>
      <c r="CS60" s="80"/>
      <c r="CT60" s="80"/>
      <c r="CU60" s="80"/>
      <c r="CV60" s="80"/>
      <c r="CW60" s="80"/>
      <c r="CX60" s="80"/>
      <c r="CY60" s="80"/>
      <c r="CZ60" s="80"/>
      <c r="DA60" s="80"/>
    </row>
    <row r="61" spans="3:105" ht="2.25" hidden="1" customHeight="1" x14ac:dyDescent="0.3">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K61" s="19"/>
      <c r="AL61" s="19"/>
      <c r="AM61" s="19"/>
      <c r="AN61" s="19"/>
      <c r="AO61" s="19"/>
      <c r="AP61" s="19"/>
      <c r="AQ61" s="19"/>
      <c r="AR61" s="19"/>
      <c r="AS61" s="19"/>
      <c r="AT61" s="19"/>
      <c r="AU61" s="19"/>
      <c r="AV61" s="19"/>
      <c r="AW61" s="19"/>
      <c r="BD61" s="20"/>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M61" s="19"/>
      <c r="CN61" s="19"/>
      <c r="CO61" s="19"/>
      <c r="CP61" s="19"/>
      <c r="CQ61" s="19"/>
      <c r="CR61" s="19"/>
      <c r="CS61" s="19"/>
      <c r="CT61" s="19"/>
      <c r="CU61" s="19"/>
      <c r="CV61" s="19"/>
      <c r="CW61" s="19"/>
      <c r="CX61" s="19"/>
      <c r="CY61" s="19"/>
    </row>
    <row r="62" spans="3:105" hidden="1" x14ac:dyDescent="0.3">
      <c r="C62" s="19"/>
      <c r="D62" s="19"/>
      <c r="E62" s="19"/>
      <c r="F62" s="19"/>
      <c r="G62" s="19"/>
      <c r="H62" s="19"/>
      <c r="I62" s="19"/>
      <c r="J62" s="19"/>
      <c r="K62" s="19"/>
      <c r="L62" s="19"/>
      <c r="M62" s="24" t="s">
        <v>39</v>
      </c>
      <c r="N62" s="19"/>
      <c r="O62" s="667" t="str">
        <f>TEXT(StartDate,"mmmm d, yyyy")</f>
        <v>January 0, 1900</v>
      </c>
      <c r="P62" s="668"/>
      <c r="Q62" s="668"/>
      <c r="R62" s="668"/>
      <c r="S62" s="668"/>
      <c r="T62" s="668"/>
      <c r="U62" s="668"/>
      <c r="V62" s="668"/>
      <c r="W62" s="669"/>
      <c r="X62" s="19"/>
      <c r="Y62" s="19"/>
      <c r="Z62" s="19"/>
      <c r="AA62" s="19"/>
      <c r="AB62" s="19"/>
      <c r="AK62" s="19"/>
      <c r="AL62" s="19"/>
      <c r="AM62" s="674">
        <v>44013</v>
      </c>
      <c r="AN62" s="675"/>
      <c r="AO62" s="675"/>
      <c r="AP62" s="675"/>
      <c r="AQ62" s="675"/>
      <c r="AR62" s="675"/>
      <c r="AS62" s="675"/>
      <c r="AT62" s="675"/>
      <c r="AU62" s="676"/>
      <c r="AV62" s="19"/>
      <c r="BD62" s="20"/>
      <c r="BE62" s="19"/>
      <c r="BF62" s="19"/>
      <c r="BG62" s="19"/>
      <c r="BH62" s="19"/>
      <c r="BI62" s="19"/>
      <c r="BJ62" s="19"/>
      <c r="BK62" s="19"/>
      <c r="BL62" s="19"/>
      <c r="BM62" s="19"/>
      <c r="BN62" s="19"/>
      <c r="BO62" s="24"/>
      <c r="BP62" s="19"/>
      <c r="BQ62" s="44"/>
      <c r="BR62" s="44"/>
      <c r="BS62" s="44"/>
      <c r="BT62" s="44"/>
      <c r="BU62" s="44"/>
      <c r="BV62" s="44"/>
      <c r="BW62" s="44"/>
      <c r="BX62" s="44"/>
      <c r="BY62" s="44"/>
      <c r="BZ62" s="19"/>
      <c r="CA62" s="19"/>
      <c r="CB62" s="19"/>
      <c r="CC62" s="19"/>
      <c r="CD62" s="19"/>
      <c r="CM62" s="19"/>
      <c r="CN62" s="19"/>
      <c r="CO62" s="93"/>
      <c r="CP62" s="93"/>
      <c r="CQ62" s="93"/>
      <c r="CR62" s="93"/>
      <c r="CS62" s="93"/>
      <c r="CT62" s="93"/>
      <c r="CU62" s="93"/>
      <c r="CV62" s="93"/>
      <c r="CW62" s="93"/>
      <c r="CX62" s="19"/>
    </row>
    <row r="63" spans="3:105" ht="2.25" hidden="1" customHeight="1" x14ac:dyDescent="0.3">
      <c r="C63" s="19"/>
      <c r="D63" s="19"/>
      <c r="E63" s="19"/>
      <c r="F63" s="19"/>
      <c r="G63" s="19"/>
      <c r="H63" s="19"/>
      <c r="I63" s="19"/>
      <c r="J63" s="19"/>
      <c r="K63" s="19"/>
      <c r="L63" s="19"/>
      <c r="M63" s="24"/>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BD63" s="20"/>
      <c r="BE63" s="19"/>
      <c r="BF63" s="19"/>
      <c r="BG63" s="19"/>
      <c r="BH63" s="19"/>
      <c r="BI63" s="19"/>
      <c r="BJ63" s="19"/>
      <c r="BK63" s="19"/>
      <c r="BL63" s="19"/>
      <c r="BM63" s="19"/>
      <c r="BN63" s="19"/>
      <c r="BO63" s="24"/>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row>
    <row r="64" spans="3:105" hidden="1" x14ac:dyDescent="0.3">
      <c r="C64" s="19"/>
      <c r="D64" s="19"/>
      <c r="E64" s="19"/>
      <c r="F64" s="19"/>
      <c r="G64" s="19"/>
      <c r="H64" s="19"/>
      <c r="I64" s="19"/>
      <c r="J64" s="19"/>
      <c r="K64" s="19"/>
      <c r="L64" s="19"/>
      <c r="M64" s="24" t="s">
        <v>40</v>
      </c>
      <c r="N64" s="19"/>
      <c r="O64" s="667" t="str">
        <f>TEXT(EndDate,"mmmm d, yyyy")</f>
        <v>January 0, 1900</v>
      </c>
      <c r="P64" s="668"/>
      <c r="Q64" s="668"/>
      <c r="R64" s="668"/>
      <c r="S64" s="668"/>
      <c r="T64" s="668"/>
      <c r="U64" s="668"/>
      <c r="V64" s="668"/>
      <c r="W64" s="66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BD64" s="20"/>
      <c r="BE64" s="19"/>
      <c r="BF64" s="19"/>
      <c r="BG64" s="19"/>
      <c r="BH64" s="19"/>
      <c r="BI64" s="19"/>
      <c r="BJ64" s="19"/>
      <c r="BK64" s="19"/>
      <c r="BL64" s="19"/>
      <c r="BM64" s="19"/>
      <c r="BN64" s="19"/>
      <c r="BO64" s="24"/>
      <c r="BP64" s="19"/>
      <c r="BQ64" s="44"/>
      <c r="BR64" s="44"/>
      <c r="BS64" s="44"/>
      <c r="BT64" s="44"/>
      <c r="BU64" s="44"/>
      <c r="BV64" s="44"/>
      <c r="BW64" s="44"/>
      <c r="BX64" s="44"/>
      <c r="BY64" s="44"/>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row>
    <row r="65" spans="3:103" ht="2.25" hidden="1" customHeight="1" x14ac:dyDescent="0.3">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BD65" s="20"/>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row>
    <row r="66" spans="3:103" hidden="1" x14ac:dyDescent="0.3">
      <c r="C66" s="19"/>
      <c r="D66" s="19"/>
      <c r="E66" s="19"/>
      <c r="F66" s="19"/>
      <c r="G66" s="19"/>
      <c r="H66" s="19"/>
      <c r="I66" s="19"/>
      <c r="J66" s="19"/>
      <c r="K66" s="19"/>
      <c r="L66" s="19"/>
      <c r="M66" s="19"/>
      <c r="N66" s="19"/>
      <c r="O66" s="670" t="str">
        <f>CONCATENATE("Univ FY",AS37)</f>
        <v>Univ FY2021</v>
      </c>
      <c r="P66" s="670"/>
      <c r="Q66" s="670"/>
      <c r="R66" s="670"/>
      <c r="S66" s="670"/>
      <c r="T66" s="670"/>
      <c r="U66" s="670"/>
      <c r="V66" s="670"/>
      <c r="W66" s="670"/>
      <c r="X66" s="670"/>
      <c r="Y66" s="670"/>
      <c r="Z66" s="670"/>
      <c r="AA66" s="670"/>
      <c r="AB66" s="670"/>
      <c r="AC66" s="670"/>
      <c r="AD66" s="670"/>
      <c r="AE66" s="670"/>
      <c r="AF66" s="670"/>
      <c r="AG66" s="670"/>
      <c r="AH66" s="670"/>
      <c r="AI66" s="670"/>
      <c r="AJ66" s="19"/>
      <c r="AK66" s="19"/>
      <c r="AL66" s="19"/>
      <c r="AM66" s="19"/>
      <c r="AN66" s="19"/>
      <c r="AO66" s="19"/>
      <c r="AP66" s="19"/>
      <c r="AQ66" s="19"/>
      <c r="AR66" s="19"/>
      <c r="AS66" s="19"/>
      <c r="AT66" s="19"/>
      <c r="AU66" s="19"/>
      <c r="AV66" s="19"/>
      <c r="AW66" s="19"/>
      <c r="BD66" s="20"/>
      <c r="BE66" s="19"/>
      <c r="BF66" s="19"/>
      <c r="BG66" s="19"/>
      <c r="BH66" s="19"/>
      <c r="BI66" s="19"/>
      <c r="BJ66" s="19"/>
      <c r="BK66" s="19"/>
      <c r="BL66" s="19"/>
      <c r="BM66" s="19"/>
      <c r="BN66" s="19"/>
      <c r="BO66" s="19"/>
      <c r="BP66" s="19"/>
      <c r="BQ66" s="44"/>
      <c r="BR66" s="44"/>
      <c r="BS66" s="44"/>
      <c r="BT66" s="44"/>
      <c r="BU66" s="44"/>
      <c r="BV66" s="44"/>
      <c r="BW66" s="44"/>
      <c r="BX66" s="44"/>
      <c r="BY66" s="44"/>
      <c r="BZ66" s="44"/>
      <c r="CA66" s="44"/>
      <c r="CB66" s="44"/>
      <c r="CC66" s="44"/>
      <c r="CD66" s="44"/>
      <c r="CE66" s="44"/>
      <c r="CF66" s="44"/>
      <c r="CG66" s="44"/>
      <c r="CH66" s="44"/>
      <c r="CI66" s="44"/>
      <c r="CJ66" s="44"/>
      <c r="CK66" s="44"/>
      <c r="CL66" s="19"/>
      <c r="CM66" s="19"/>
      <c r="CN66" s="19"/>
      <c r="CO66" s="19"/>
      <c r="CP66" s="19"/>
      <c r="CQ66" s="19"/>
      <c r="CR66" s="19"/>
      <c r="CS66" s="19"/>
      <c r="CT66" s="19"/>
      <c r="CU66" s="19"/>
      <c r="CV66" s="19"/>
      <c r="CW66" s="19"/>
      <c r="CX66" s="19"/>
      <c r="CY66" s="19"/>
    </row>
    <row r="67" spans="3:103" ht="2.25" hidden="1" customHeight="1" x14ac:dyDescent="0.3">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BD67" s="20"/>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row>
    <row r="68" spans="3:103" hidden="1" x14ac:dyDescent="0.3">
      <c r="C68" s="19"/>
      <c r="D68" s="19"/>
      <c r="E68" s="19"/>
      <c r="F68" s="19"/>
      <c r="G68" s="19"/>
      <c r="H68" s="19"/>
      <c r="I68" s="19"/>
      <c r="J68" s="19"/>
      <c r="K68" s="19"/>
      <c r="L68" s="19"/>
      <c r="M68" s="24" t="s">
        <v>41</v>
      </c>
      <c r="N68" s="19"/>
      <c r="O68" s="671">
        <f>AM62</f>
        <v>44013</v>
      </c>
      <c r="P68" s="672"/>
      <c r="Q68" s="672"/>
      <c r="R68" s="672"/>
      <c r="S68" s="672"/>
      <c r="T68" s="672"/>
      <c r="U68" s="672"/>
      <c r="V68" s="672"/>
      <c r="W68" s="673"/>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BD68" s="20"/>
      <c r="BE68" s="19"/>
      <c r="BF68" s="19"/>
      <c r="BG68" s="19"/>
      <c r="BH68" s="19"/>
      <c r="BI68" s="19"/>
      <c r="BJ68" s="19"/>
      <c r="BK68" s="19"/>
      <c r="BL68" s="19"/>
      <c r="BM68" s="19"/>
      <c r="BN68" s="19"/>
      <c r="BO68" s="24"/>
      <c r="BP68" s="19"/>
      <c r="BQ68" s="94"/>
      <c r="BR68" s="94"/>
      <c r="BS68" s="94"/>
      <c r="BT68" s="94"/>
      <c r="BU68" s="94"/>
      <c r="BV68" s="94"/>
      <c r="BW68" s="94"/>
      <c r="BX68" s="94"/>
      <c r="BY68" s="94"/>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row>
    <row r="69" spans="3:103" ht="2.25" hidden="1" customHeight="1" x14ac:dyDescent="0.3">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BD69" s="20"/>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row>
    <row r="70" spans="3:103" hidden="1" x14ac:dyDescent="0.3">
      <c r="C70" s="19"/>
      <c r="D70" s="19"/>
      <c r="E70" s="19"/>
      <c r="F70" s="19"/>
      <c r="G70" s="19"/>
      <c r="H70" s="19"/>
      <c r="I70" s="19"/>
      <c r="J70" s="19"/>
      <c r="K70" s="19"/>
      <c r="L70" s="19"/>
      <c r="M70" s="24" t="s">
        <v>42</v>
      </c>
      <c r="N70" s="19"/>
      <c r="O70" s="671">
        <f>EDATE(O68,12)-1</f>
        <v>44377</v>
      </c>
      <c r="P70" s="672"/>
      <c r="Q70" s="672"/>
      <c r="R70" s="672"/>
      <c r="S70" s="672"/>
      <c r="T70" s="672"/>
      <c r="U70" s="672"/>
      <c r="V70" s="672"/>
      <c r="W70" s="673"/>
      <c r="X70" s="19"/>
      <c r="Y70" s="43">
        <f>O72</f>
        <v>0</v>
      </c>
      <c r="Z70" s="19"/>
      <c r="AA70" s="19"/>
      <c r="AB70" s="19"/>
      <c r="AC70" s="19"/>
      <c r="AD70" s="19"/>
      <c r="AE70" s="677">
        <f>O72+AA80+O80+O88+AA88+O96+AA96+O104+AA104+O112</f>
        <v>0</v>
      </c>
      <c r="AF70" s="678"/>
      <c r="AG70" s="679"/>
      <c r="AH70" s="19"/>
      <c r="AI70" s="47" t="s">
        <v>43</v>
      </c>
      <c r="AJ70" s="19"/>
      <c r="AK70" s="19"/>
      <c r="AL70" s="19"/>
      <c r="AM70" s="19"/>
      <c r="AN70" s="19"/>
      <c r="AO70" s="19"/>
      <c r="AP70" s="19"/>
      <c r="AQ70" s="19"/>
      <c r="AR70" s="19"/>
      <c r="AS70" s="19"/>
      <c r="AT70" s="19"/>
      <c r="AU70" s="19"/>
      <c r="AV70" s="19"/>
      <c r="AW70" s="19"/>
      <c r="BD70" s="20"/>
      <c r="BE70" s="19"/>
      <c r="BF70" s="19"/>
      <c r="BG70" s="19"/>
      <c r="BH70" s="19"/>
      <c r="BI70" s="19"/>
      <c r="BJ70" s="19"/>
      <c r="BK70" s="19"/>
      <c r="BL70" s="19"/>
      <c r="BM70" s="19"/>
      <c r="BN70" s="19"/>
      <c r="BO70" s="24"/>
      <c r="BP70" s="19"/>
      <c r="BQ70" s="94"/>
      <c r="BR70" s="94"/>
      <c r="BS70" s="94"/>
      <c r="BT70" s="94"/>
      <c r="BU70" s="94"/>
      <c r="BV70" s="94"/>
      <c r="BW70" s="94"/>
      <c r="BX70" s="94"/>
      <c r="BY70" s="94"/>
      <c r="BZ70" s="19"/>
      <c r="CA70" s="44"/>
      <c r="CB70" s="19"/>
      <c r="CC70" s="19"/>
      <c r="CD70" s="19"/>
      <c r="CE70" s="19"/>
      <c r="CF70" s="19"/>
      <c r="CG70" s="95"/>
      <c r="CH70" s="95"/>
      <c r="CI70" s="95"/>
      <c r="CJ70" s="19"/>
      <c r="CK70" s="47"/>
      <c r="CL70" s="19"/>
      <c r="CM70" s="19"/>
      <c r="CN70" s="19"/>
      <c r="CO70" s="19"/>
      <c r="CP70" s="19"/>
      <c r="CQ70" s="19"/>
      <c r="CR70" s="19"/>
      <c r="CS70" s="19"/>
      <c r="CT70" s="19"/>
      <c r="CU70" s="19"/>
      <c r="CV70" s="19"/>
      <c r="CW70" s="19"/>
      <c r="CX70" s="19"/>
      <c r="CY70" s="19"/>
    </row>
    <row r="71" spans="3:103" ht="2.25" hidden="1" customHeight="1" x14ac:dyDescent="0.3">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BD71" s="20"/>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row>
    <row r="72" spans="3:103" hidden="1" x14ac:dyDescent="0.3">
      <c r="C72" s="19"/>
      <c r="D72" s="19"/>
      <c r="E72" s="19"/>
      <c r="F72" s="19"/>
      <c r="G72" s="19"/>
      <c r="H72" s="19"/>
      <c r="I72" s="19"/>
      <c r="J72" s="19"/>
      <c r="K72" s="19"/>
      <c r="L72" s="19"/>
      <c r="M72" s="24" t="s">
        <v>44</v>
      </c>
      <c r="N72" s="19"/>
      <c r="O72" s="667">
        <f>K136</f>
        <v>0</v>
      </c>
      <c r="P72" s="668"/>
      <c r="Q72" s="668"/>
      <c r="R72" s="668"/>
      <c r="S72" s="668"/>
      <c r="T72" s="668"/>
      <c r="U72" s="668"/>
      <c r="V72" s="668"/>
      <c r="W72" s="66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BD72" s="20"/>
      <c r="BE72" s="19"/>
      <c r="BF72" s="19"/>
      <c r="BG72" s="19"/>
      <c r="BH72" s="19"/>
      <c r="BI72" s="19"/>
      <c r="BJ72" s="19"/>
      <c r="BK72" s="19"/>
      <c r="BL72" s="19"/>
      <c r="BM72" s="19"/>
      <c r="BN72" s="19"/>
      <c r="BO72" s="24"/>
      <c r="BP72" s="19"/>
      <c r="BQ72" s="44"/>
      <c r="BR72" s="44"/>
      <c r="BS72" s="44"/>
      <c r="BT72" s="44"/>
      <c r="BU72" s="44"/>
      <c r="BV72" s="44"/>
      <c r="BW72" s="44"/>
      <c r="BX72" s="44"/>
      <c r="BY72" s="44"/>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row>
    <row r="73" spans="3:103" ht="2.25" hidden="1" customHeight="1" x14ac:dyDescent="0.3">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BD73" s="20"/>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row>
    <row r="74" spans="3:103" hidden="1" x14ac:dyDescent="0.3">
      <c r="C74" s="19"/>
      <c r="D74" s="19"/>
      <c r="E74" s="19"/>
      <c r="F74" s="44"/>
      <c r="G74" s="45"/>
      <c r="H74" s="19"/>
      <c r="I74" s="19"/>
      <c r="J74" s="19"/>
      <c r="K74" s="19"/>
      <c r="L74" s="19"/>
      <c r="M74" s="19"/>
      <c r="N74" s="19"/>
      <c r="O74" s="670" t="str">
        <f>CONCATENATE("Univ FY",$AS$38)</f>
        <v>Univ FY2022</v>
      </c>
      <c r="P74" s="670"/>
      <c r="Q74" s="670"/>
      <c r="R74" s="670"/>
      <c r="S74" s="670"/>
      <c r="T74" s="670"/>
      <c r="U74" s="670"/>
      <c r="V74" s="670"/>
      <c r="W74" s="670"/>
      <c r="X74" s="670"/>
      <c r="Y74" s="670"/>
      <c r="Z74" s="670"/>
      <c r="AA74" s="670"/>
      <c r="AB74" s="670"/>
      <c r="AC74" s="670"/>
      <c r="AD74" s="670"/>
      <c r="AE74" s="670"/>
      <c r="AF74" s="670"/>
      <c r="AG74" s="670"/>
      <c r="AH74" s="670"/>
      <c r="AI74" s="670"/>
      <c r="AJ74" s="19"/>
      <c r="AK74" s="45" t="str">
        <f>CONCATENATE("Univ FY",$AS$38)</f>
        <v>Univ FY2022</v>
      </c>
      <c r="AL74" s="19"/>
      <c r="AM74" s="19"/>
      <c r="AN74" s="19"/>
      <c r="AO74" s="19"/>
      <c r="AP74" s="19"/>
      <c r="AQ74" s="19"/>
      <c r="AR74" s="19"/>
      <c r="AS74" s="19"/>
      <c r="AT74" s="19"/>
      <c r="AU74" s="19"/>
      <c r="AV74" s="19"/>
      <c r="AW74" s="19"/>
      <c r="BD74" s="20"/>
      <c r="BE74" s="19"/>
      <c r="BF74" s="19"/>
      <c r="BG74" s="19"/>
      <c r="BH74" s="44"/>
      <c r="BI74" s="45"/>
      <c r="BJ74" s="19"/>
      <c r="BK74" s="19"/>
      <c r="BL74" s="19"/>
      <c r="BM74" s="19"/>
      <c r="BN74" s="19"/>
      <c r="BO74" s="19"/>
      <c r="BP74" s="19"/>
      <c r="BQ74" s="44"/>
      <c r="BR74" s="44"/>
      <c r="BS74" s="44"/>
      <c r="BT74" s="44"/>
      <c r="BU74" s="44"/>
      <c r="BV74" s="44"/>
      <c r="BW74" s="44"/>
      <c r="BX74" s="44"/>
      <c r="BY74" s="44"/>
      <c r="BZ74" s="44"/>
      <c r="CA74" s="44"/>
      <c r="CB74" s="44"/>
      <c r="CC74" s="44"/>
      <c r="CD74" s="44"/>
      <c r="CE74" s="44"/>
      <c r="CF74" s="44"/>
      <c r="CG74" s="44"/>
      <c r="CH74" s="44"/>
      <c r="CI74" s="44"/>
      <c r="CJ74" s="44"/>
      <c r="CK74" s="44"/>
      <c r="CL74" s="19"/>
      <c r="CM74" s="45"/>
      <c r="CN74" s="19"/>
      <c r="CO74" s="19"/>
      <c r="CP74" s="19"/>
      <c r="CQ74" s="19"/>
      <c r="CR74" s="19"/>
      <c r="CS74" s="19"/>
      <c r="CT74" s="19"/>
      <c r="CU74" s="19"/>
      <c r="CV74" s="19"/>
      <c r="CW74" s="19"/>
      <c r="CX74" s="19"/>
      <c r="CY74" s="19"/>
    </row>
    <row r="75" spans="3:103" ht="3.75" hidden="1" customHeight="1" x14ac:dyDescent="0.3">
      <c r="C75" s="19"/>
      <c r="D75" s="19"/>
      <c r="E75" s="19"/>
      <c r="F75" s="46" t="str">
        <f>"-"</f>
        <v>-</v>
      </c>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BD75" s="20"/>
      <c r="BE75" s="19"/>
      <c r="BF75" s="19"/>
      <c r="BG75" s="19"/>
      <c r="BH75" s="46"/>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row>
    <row r="76" spans="3:103" hidden="1" x14ac:dyDescent="0.3">
      <c r="C76" s="19"/>
      <c r="D76" s="19"/>
      <c r="E76" s="19"/>
      <c r="F76" s="19"/>
      <c r="G76" s="19"/>
      <c r="H76" s="19"/>
      <c r="I76" s="19"/>
      <c r="J76" s="19"/>
      <c r="K76" s="19"/>
      <c r="L76" s="25"/>
      <c r="M76" s="24" t="s">
        <v>45</v>
      </c>
      <c r="N76" s="19"/>
      <c r="O76" s="671">
        <f>O70+1</f>
        <v>44378</v>
      </c>
      <c r="P76" s="672"/>
      <c r="Q76" s="672"/>
      <c r="R76" s="672"/>
      <c r="S76" s="672"/>
      <c r="T76" s="672"/>
      <c r="U76" s="672"/>
      <c r="V76" s="672"/>
      <c r="W76" s="673"/>
      <c r="X76" s="19"/>
      <c r="Y76" s="19"/>
      <c r="Z76" s="19"/>
      <c r="AA76" s="671">
        <f>O78+1</f>
        <v>44562</v>
      </c>
      <c r="AB76" s="672"/>
      <c r="AC76" s="672"/>
      <c r="AD76" s="672"/>
      <c r="AE76" s="672"/>
      <c r="AF76" s="672"/>
      <c r="AG76" s="672"/>
      <c r="AH76" s="672"/>
      <c r="AI76" s="673"/>
      <c r="AJ76" s="19"/>
      <c r="AK76" s="47" t="s">
        <v>46</v>
      </c>
      <c r="AL76" s="19"/>
      <c r="AM76" s="19"/>
      <c r="AN76" s="19"/>
      <c r="AO76" s="19"/>
      <c r="AP76" s="19"/>
      <c r="AQ76" s="19"/>
      <c r="AR76" s="19"/>
      <c r="AS76" s="19"/>
      <c r="AT76" s="19"/>
      <c r="AU76" s="19"/>
      <c r="AV76" s="19"/>
      <c r="AW76" s="19"/>
      <c r="BD76" s="20"/>
      <c r="BE76" s="19"/>
      <c r="BF76" s="19"/>
      <c r="BG76" s="19"/>
      <c r="BH76" s="19"/>
      <c r="BI76" s="19"/>
      <c r="BJ76" s="19"/>
      <c r="BK76" s="19"/>
      <c r="BL76" s="19"/>
      <c r="BM76" s="19"/>
      <c r="BN76" s="25"/>
      <c r="BO76" s="24"/>
      <c r="BP76" s="19"/>
      <c r="BQ76" s="94"/>
      <c r="BR76" s="94"/>
      <c r="BS76" s="94"/>
      <c r="BT76" s="94"/>
      <c r="BU76" s="94"/>
      <c r="BV76" s="94"/>
      <c r="BW76" s="94"/>
      <c r="BX76" s="94"/>
      <c r="BY76" s="94"/>
      <c r="BZ76" s="19"/>
      <c r="CA76" s="19"/>
      <c r="CB76" s="19"/>
      <c r="CC76" s="94"/>
      <c r="CD76" s="94"/>
      <c r="CE76" s="94"/>
      <c r="CF76" s="94"/>
      <c r="CG76" s="94"/>
      <c r="CH76" s="94"/>
      <c r="CI76" s="94"/>
      <c r="CJ76" s="94"/>
      <c r="CK76" s="94"/>
      <c r="CL76" s="19"/>
      <c r="CM76" s="47"/>
      <c r="CN76" s="19"/>
      <c r="CO76" s="19"/>
      <c r="CP76" s="19"/>
      <c r="CQ76" s="19"/>
      <c r="CR76" s="19"/>
      <c r="CS76" s="19"/>
      <c r="CT76" s="19"/>
      <c r="CU76" s="19"/>
      <c r="CV76" s="19"/>
      <c r="CW76" s="19"/>
      <c r="CX76" s="19"/>
      <c r="CY76" s="19"/>
    </row>
    <row r="77" spans="3:103" ht="3.75" hidden="1" customHeight="1" x14ac:dyDescent="0.3">
      <c r="C77" s="19"/>
      <c r="D77" s="19"/>
      <c r="E77" s="19"/>
      <c r="F77" s="25"/>
      <c r="G77" s="25"/>
      <c r="H77" s="19"/>
      <c r="I77" s="19"/>
      <c r="J77" s="19"/>
      <c r="K77" s="19"/>
      <c r="L77" s="19"/>
      <c r="M77" s="19"/>
      <c r="N77" s="19"/>
      <c r="O77" s="26"/>
      <c r="P77" s="26"/>
      <c r="Q77" s="26"/>
      <c r="R77" s="26"/>
      <c r="S77" s="26"/>
      <c r="T77" s="26"/>
      <c r="U77" s="26"/>
      <c r="V77" s="26"/>
      <c r="W77" s="26"/>
      <c r="X77" s="19"/>
      <c r="Y77" s="19"/>
      <c r="Z77" s="19"/>
      <c r="AA77" s="19"/>
      <c r="AB77" s="19"/>
      <c r="AC77" s="19"/>
      <c r="AD77" s="19"/>
      <c r="AE77" s="19"/>
      <c r="AF77" s="19"/>
      <c r="AG77" s="19"/>
      <c r="AH77" s="19"/>
      <c r="AI77" s="19"/>
      <c r="AJ77" s="19"/>
      <c r="AK77" s="47"/>
      <c r="AL77" s="19"/>
      <c r="AM77" s="19"/>
      <c r="AN77" s="19"/>
      <c r="AO77" s="19"/>
      <c r="AP77" s="19"/>
      <c r="AQ77" s="19"/>
      <c r="AR77" s="19"/>
      <c r="AS77" s="19"/>
      <c r="AT77" s="19"/>
      <c r="AU77" s="19"/>
      <c r="AV77" s="19"/>
      <c r="AW77" s="19"/>
      <c r="BD77" s="20"/>
      <c r="BE77" s="19"/>
      <c r="BF77" s="19"/>
      <c r="BG77" s="19"/>
      <c r="BH77" s="25"/>
      <c r="BI77" s="25"/>
      <c r="BJ77" s="19"/>
      <c r="BK77" s="19"/>
      <c r="BL77" s="19"/>
      <c r="BM77" s="19"/>
      <c r="BN77" s="19"/>
      <c r="BO77" s="19"/>
      <c r="BP77" s="19"/>
      <c r="BQ77" s="26"/>
      <c r="BR77" s="26"/>
      <c r="BS77" s="26"/>
      <c r="BT77" s="26"/>
      <c r="BU77" s="26"/>
      <c r="BV77" s="26"/>
      <c r="BW77" s="26"/>
      <c r="BX77" s="26"/>
      <c r="BY77" s="26"/>
      <c r="BZ77" s="19"/>
      <c r="CA77" s="19"/>
      <c r="CB77" s="19"/>
      <c r="CC77" s="19"/>
      <c r="CD77" s="19"/>
      <c r="CE77" s="19"/>
      <c r="CF77" s="19"/>
      <c r="CG77" s="19"/>
      <c r="CH77" s="19"/>
      <c r="CI77" s="19"/>
      <c r="CJ77" s="19"/>
      <c r="CK77" s="19"/>
      <c r="CL77" s="19"/>
      <c r="CM77" s="47"/>
      <c r="CN77" s="19"/>
      <c r="CO77" s="19"/>
      <c r="CP77" s="19"/>
      <c r="CQ77" s="19"/>
      <c r="CR77" s="19"/>
      <c r="CS77" s="19"/>
      <c r="CT77" s="19"/>
      <c r="CU77" s="19"/>
      <c r="CV77" s="19"/>
      <c r="CW77" s="19"/>
      <c r="CX77" s="19"/>
      <c r="CY77" s="19"/>
    </row>
    <row r="78" spans="3:103" hidden="1" x14ac:dyDescent="0.3">
      <c r="C78" s="19"/>
      <c r="D78" s="19"/>
      <c r="E78" s="19"/>
      <c r="F78" s="19"/>
      <c r="G78" s="19"/>
      <c r="H78" s="19"/>
      <c r="I78" s="19"/>
      <c r="J78" s="19"/>
      <c r="K78" s="19"/>
      <c r="L78" s="19"/>
      <c r="M78" s="24" t="s">
        <v>47</v>
      </c>
      <c r="N78" s="19"/>
      <c r="O78" s="671">
        <f>O76+183</f>
        <v>44561</v>
      </c>
      <c r="P78" s="672"/>
      <c r="Q78" s="672"/>
      <c r="R78" s="672"/>
      <c r="S78" s="672"/>
      <c r="T78" s="672"/>
      <c r="U78" s="672"/>
      <c r="V78" s="672"/>
      <c r="W78" s="673"/>
      <c r="X78" s="19"/>
      <c r="Y78" s="43">
        <f>O80+AA80</f>
        <v>0</v>
      </c>
      <c r="Z78" s="19"/>
      <c r="AA78" s="671">
        <f>EDATE(AA76,6)-1</f>
        <v>44742</v>
      </c>
      <c r="AB78" s="672"/>
      <c r="AC78" s="672"/>
      <c r="AD78" s="672"/>
      <c r="AE78" s="672"/>
      <c r="AF78" s="672"/>
      <c r="AG78" s="672"/>
      <c r="AH78" s="672"/>
      <c r="AI78" s="673"/>
      <c r="AJ78" s="19"/>
      <c r="AK78" s="47" t="s">
        <v>48</v>
      </c>
      <c r="AL78" s="19"/>
      <c r="AM78" s="19"/>
      <c r="AN78" s="19"/>
      <c r="AO78" s="19"/>
      <c r="AP78" s="19"/>
      <c r="AQ78" s="19"/>
      <c r="AR78" s="19"/>
      <c r="AS78" s="19"/>
      <c r="AT78" s="19"/>
      <c r="AU78" s="19"/>
      <c r="AV78" s="19"/>
      <c r="AW78" s="19"/>
      <c r="BD78" s="20"/>
      <c r="BE78" s="19"/>
      <c r="BF78" s="19"/>
      <c r="BG78" s="19"/>
      <c r="BH78" s="19"/>
      <c r="BI78" s="19"/>
      <c r="BJ78" s="19"/>
      <c r="BK78" s="19"/>
      <c r="BL78" s="19"/>
      <c r="BM78" s="19"/>
      <c r="BN78" s="19"/>
      <c r="BO78" s="24"/>
      <c r="BP78" s="19"/>
      <c r="BQ78" s="94"/>
      <c r="BR78" s="94"/>
      <c r="BS78" s="94"/>
      <c r="BT78" s="94"/>
      <c r="BU78" s="94"/>
      <c r="BV78" s="94"/>
      <c r="BW78" s="94"/>
      <c r="BX78" s="94"/>
      <c r="BY78" s="94"/>
      <c r="BZ78" s="19"/>
      <c r="CA78" s="44"/>
      <c r="CB78" s="19"/>
      <c r="CC78" s="94"/>
      <c r="CD78" s="94"/>
      <c r="CE78" s="94"/>
      <c r="CF78" s="94"/>
      <c r="CG78" s="94"/>
      <c r="CH78" s="94"/>
      <c r="CI78" s="94"/>
      <c r="CJ78" s="94"/>
      <c r="CK78" s="94"/>
      <c r="CL78" s="19"/>
      <c r="CM78" s="47"/>
      <c r="CN78" s="19"/>
      <c r="CO78" s="19"/>
      <c r="CP78" s="19"/>
      <c r="CQ78" s="19"/>
      <c r="CR78" s="19"/>
      <c r="CS78" s="19"/>
      <c r="CT78" s="19"/>
      <c r="CU78" s="19"/>
      <c r="CV78" s="19"/>
      <c r="CW78" s="19"/>
      <c r="CX78" s="19"/>
      <c r="CY78" s="19"/>
    </row>
    <row r="79" spans="3:103" ht="3.75" hidden="1" customHeight="1" x14ac:dyDescent="0.3">
      <c r="C79" s="19"/>
      <c r="D79" s="19"/>
      <c r="E79" s="19"/>
      <c r="F79" s="19"/>
      <c r="G79" s="19"/>
      <c r="H79" s="19"/>
      <c r="I79" s="19"/>
      <c r="J79" s="19"/>
      <c r="K79" s="19"/>
      <c r="L79" s="19"/>
      <c r="M79" s="19"/>
      <c r="N79" s="19"/>
      <c r="O79" s="26"/>
      <c r="P79" s="26"/>
      <c r="Q79" s="26"/>
      <c r="R79" s="26"/>
      <c r="S79" s="26"/>
      <c r="T79" s="26"/>
      <c r="U79" s="26"/>
      <c r="V79" s="26"/>
      <c r="W79" s="26"/>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BD79" s="20"/>
      <c r="BE79" s="19"/>
      <c r="BF79" s="19"/>
      <c r="BG79" s="19"/>
      <c r="BH79" s="19"/>
      <c r="BI79" s="19"/>
      <c r="BJ79" s="19"/>
      <c r="BK79" s="19"/>
      <c r="BL79" s="19"/>
      <c r="BM79" s="19"/>
      <c r="BN79" s="19"/>
      <c r="BO79" s="19"/>
      <c r="BP79" s="19"/>
      <c r="BQ79" s="26"/>
      <c r="BR79" s="26"/>
      <c r="BS79" s="26"/>
      <c r="BT79" s="26"/>
      <c r="BU79" s="26"/>
      <c r="BV79" s="26"/>
      <c r="BW79" s="26"/>
      <c r="BX79" s="26"/>
      <c r="BY79" s="26"/>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row>
    <row r="80" spans="3:103" hidden="1" x14ac:dyDescent="0.3">
      <c r="C80" s="19"/>
      <c r="D80" s="19"/>
      <c r="E80" s="19"/>
      <c r="F80" s="19"/>
      <c r="G80" s="19"/>
      <c r="H80" s="19"/>
      <c r="I80" s="19"/>
      <c r="J80" s="19"/>
      <c r="K80" s="19"/>
      <c r="L80" s="19"/>
      <c r="M80" s="48" t="s">
        <v>49</v>
      </c>
      <c r="N80" s="19"/>
      <c r="O80" s="667">
        <f>AC128</f>
        <v>0</v>
      </c>
      <c r="P80" s="668"/>
      <c r="Q80" s="668"/>
      <c r="R80" s="668"/>
      <c r="S80" s="668"/>
      <c r="T80" s="668"/>
      <c r="U80" s="668"/>
      <c r="V80" s="668"/>
      <c r="W80" s="669"/>
      <c r="X80" s="19"/>
      <c r="Y80" s="19"/>
      <c r="Z80" s="19"/>
      <c r="AA80" s="667">
        <f>AC135</f>
        <v>0</v>
      </c>
      <c r="AB80" s="668"/>
      <c r="AC80" s="668"/>
      <c r="AD80" s="668"/>
      <c r="AE80" s="668"/>
      <c r="AF80" s="668"/>
      <c r="AG80" s="668"/>
      <c r="AH80" s="668"/>
      <c r="AI80" s="669"/>
      <c r="AJ80" s="19"/>
      <c r="AK80" s="47" t="s">
        <v>50</v>
      </c>
      <c r="AL80" s="19"/>
      <c r="AM80" s="19"/>
      <c r="AN80" s="19"/>
      <c r="AO80" s="19"/>
      <c r="AP80" s="19"/>
      <c r="AQ80" s="19"/>
      <c r="AR80" s="19"/>
      <c r="AS80" s="19"/>
      <c r="AT80" s="19"/>
      <c r="AU80" s="19"/>
      <c r="AV80" s="19"/>
      <c r="AW80" s="19"/>
      <c r="BD80" s="20"/>
      <c r="BE80" s="19"/>
      <c r="BF80" s="19"/>
      <c r="BG80" s="19"/>
      <c r="BH80" s="19"/>
      <c r="BI80" s="19"/>
      <c r="BJ80" s="19"/>
      <c r="BK80" s="19"/>
      <c r="BL80" s="19"/>
      <c r="BM80" s="19"/>
      <c r="BN80" s="19"/>
      <c r="BO80" s="24"/>
      <c r="BP80" s="19"/>
      <c r="BQ80" s="44"/>
      <c r="BR80" s="44"/>
      <c r="BS80" s="44"/>
      <c r="BT80" s="44"/>
      <c r="BU80" s="44"/>
      <c r="BV80" s="44"/>
      <c r="BW80" s="44"/>
      <c r="BX80" s="44"/>
      <c r="BY80" s="44"/>
      <c r="BZ80" s="19"/>
      <c r="CA80" s="19"/>
      <c r="CB80" s="19"/>
      <c r="CC80" s="44"/>
      <c r="CD80" s="44"/>
      <c r="CE80" s="44"/>
      <c r="CF80" s="44"/>
      <c r="CG80" s="44"/>
      <c r="CH80" s="44"/>
      <c r="CI80" s="44"/>
      <c r="CJ80" s="44"/>
      <c r="CK80" s="44"/>
      <c r="CL80" s="19"/>
      <c r="CM80" s="47"/>
      <c r="CN80" s="19"/>
      <c r="CO80" s="19"/>
      <c r="CP80" s="19"/>
      <c r="CQ80" s="19"/>
      <c r="CR80" s="19"/>
      <c r="CS80" s="19"/>
      <c r="CT80" s="19"/>
      <c r="CU80" s="19"/>
      <c r="CV80" s="19"/>
      <c r="CW80" s="19"/>
      <c r="CX80" s="19"/>
      <c r="CY80" s="19"/>
    </row>
    <row r="81" spans="3:103" ht="3.75" hidden="1" customHeight="1" x14ac:dyDescent="0.3">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BD81" s="20"/>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row>
    <row r="82" spans="3:103" hidden="1" x14ac:dyDescent="0.3">
      <c r="C82" s="19"/>
      <c r="D82" s="19"/>
      <c r="E82" s="19"/>
      <c r="F82" s="19"/>
      <c r="G82" s="19"/>
      <c r="H82" s="19"/>
      <c r="I82" s="19"/>
      <c r="J82" s="19"/>
      <c r="K82" s="19"/>
      <c r="L82" s="19"/>
      <c r="M82" s="19"/>
      <c r="N82" s="19"/>
      <c r="O82" s="670" t="str">
        <f>CONCATENATE("Univ FY",$AS$39)</f>
        <v>Univ FY2023</v>
      </c>
      <c r="P82" s="670"/>
      <c r="Q82" s="670"/>
      <c r="R82" s="670"/>
      <c r="S82" s="670"/>
      <c r="T82" s="670"/>
      <c r="U82" s="670"/>
      <c r="V82" s="670"/>
      <c r="W82" s="670"/>
      <c r="X82" s="670"/>
      <c r="Y82" s="670"/>
      <c r="Z82" s="670"/>
      <c r="AA82" s="670"/>
      <c r="AB82" s="670"/>
      <c r="AC82" s="670"/>
      <c r="AD82" s="670"/>
      <c r="AE82" s="670"/>
      <c r="AF82" s="670"/>
      <c r="AG82" s="670"/>
      <c r="AH82" s="670"/>
      <c r="AI82" s="670"/>
      <c r="AJ82" s="19"/>
      <c r="AK82" s="45" t="str">
        <f>O82</f>
        <v>Univ FY2023</v>
      </c>
      <c r="AL82" s="19"/>
      <c r="AM82" s="19"/>
      <c r="AN82" s="19"/>
      <c r="AO82" s="19"/>
      <c r="AP82" s="19"/>
      <c r="AQ82" s="19"/>
      <c r="AR82" s="19"/>
      <c r="AS82" s="19"/>
      <c r="AT82" s="19"/>
      <c r="AU82" s="19"/>
      <c r="AV82" s="19"/>
      <c r="AW82" s="19"/>
      <c r="BD82" s="20"/>
      <c r="BE82" s="19"/>
      <c r="BF82" s="19"/>
      <c r="BG82" s="19"/>
      <c r="BH82" s="19"/>
      <c r="BI82" s="19"/>
      <c r="BJ82" s="19"/>
      <c r="BK82" s="19"/>
      <c r="BL82" s="19"/>
      <c r="BM82" s="19"/>
      <c r="BN82" s="19"/>
      <c r="BO82" s="19"/>
      <c r="BP82" s="19"/>
      <c r="BQ82" s="44"/>
      <c r="BR82" s="44"/>
      <c r="BS82" s="44"/>
      <c r="BT82" s="44"/>
      <c r="BU82" s="44"/>
      <c r="BV82" s="44"/>
      <c r="BW82" s="44"/>
      <c r="BX82" s="44"/>
      <c r="BY82" s="44"/>
      <c r="BZ82" s="44"/>
      <c r="CA82" s="44"/>
      <c r="CB82" s="44"/>
      <c r="CC82" s="44"/>
      <c r="CD82" s="44"/>
      <c r="CE82" s="44"/>
      <c r="CF82" s="44"/>
      <c r="CG82" s="44"/>
      <c r="CH82" s="44"/>
      <c r="CI82" s="44"/>
      <c r="CJ82" s="44"/>
      <c r="CK82" s="44"/>
      <c r="CL82" s="19"/>
      <c r="CM82" s="45"/>
      <c r="CN82" s="19"/>
      <c r="CO82" s="19"/>
      <c r="CP82" s="19"/>
      <c r="CQ82" s="19"/>
      <c r="CR82" s="19"/>
      <c r="CS82" s="19"/>
      <c r="CT82" s="19"/>
      <c r="CU82" s="19"/>
      <c r="CV82" s="19"/>
      <c r="CW82" s="19"/>
      <c r="CX82" s="19"/>
      <c r="CY82" s="19"/>
    </row>
    <row r="83" spans="3:103" ht="3.75" hidden="1" customHeight="1" x14ac:dyDescent="0.3">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BD83" s="20"/>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row>
    <row r="84" spans="3:103" hidden="1" x14ac:dyDescent="0.3">
      <c r="C84" s="19"/>
      <c r="D84" s="19"/>
      <c r="E84" s="19"/>
      <c r="F84" s="19"/>
      <c r="G84" s="19"/>
      <c r="H84" s="19"/>
      <c r="I84" s="19"/>
      <c r="J84" s="19"/>
      <c r="K84" s="19"/>
      <c r="L84" s="19"/>
      <c r="M84" s="24" t="s">
        <v>51</v>
      </c>
      <c r="N84" s="19"/>
      <c r="O84" s="671">
        <f>AA78+1</f>
        <v>44743</v>
      </c>
      <c r="P84" s="672"/>
      <c r="Q84" s="672"/>
      <c r="R84" s="672"/>
      <c r="S84" s="672"/>
      <c r="T84" s="672"/>
      <c r="U84" s="672"/>
      <c r="V84" s="672"/>
      <c r="W84" s="673"/>
      <c r="X84" s="19"/>
      <c r="Y84" s="19"/>
      <c r="Z84" s="19"/>
      <c r="AA84" s="671">
        <f>O86+1</f>
        <v>44927</v>
      </c>
      <c r="AB84" s="672"/>
      <c r="AC84" s="672"/>
      <c r="AD84" s="672"/>
      <c r="AE84" s="672"/>
      <c r="AF84" s="672"/>
      <c r="AG84" s="672"/>
      <c r="AH84" s="672"/>
      <c r="AI84" s="673"/>
      <c r="AJ84" s="19"/>
      <c r="AK84" s="47" t="s">
        <v>52</v>
      </c>
      <c r="AL84" s="19"/>
      <c r="AM84" s="19"/>
      <c r="AN84" s="19"/>
      <c r="AO84" s="19"/>
      <c r="AP84" s="19"/>
      <c r="AQ84" s="19"/>
      <c r="AR84" s="19"/>
      <c r="AS84" s="19"/>
      <c r="AT84" s="19"/>
      <c r="AU84" s="19"/>
      <c r="AV84" s="19"/>
      <c r="AW84" s="19"/>
      <c r="BD84" s="20"/>
      <c r="BE84" s="19"/>
      <c r="BF84" s="19"/>
      <c r="BG84" s="19"/>
      <c r="BH84" s="19"/>
      <c r="BI84" s="19"/>
      <c r="BJ84" s="19"/>
      <c r="BK84" s="19"/>
      <c r="BL84" s="19"/>
      <c r="BM84" s="19"/>
      <c r="BN84" s="19"/>
      <c r="BO84" s="24"/>
      <c r="BP84" s="19"/>
      <c r="BQ84" s="94"/>
      <c r="BR84" s="94"/>
      <c r="BS84" s="94"/>
      <c r="BT84" s="94"/>
      <c r="BU84" s="94"/>
      <c r="BV84" s="94"/>
      <c r="BW84" s="94"/>
      <c r="BX84" s="94"/>
      <c r="BY84" s="94"/>
      <c r="BZ84" s="19"/>
      <c r="CA84" s="19"/>
      <c r="CB84" s="19"/>
      <c r="CC84" s="94"/>
      <c r="CD84" s="94"/>
      <c r="CE84" s="94"/>
      <c r="CF84" s="94"/>
      <c r="CG84" s="94"/>
      <c r="CH84" s="94"/>
      <c r="CI84" s="94"/>
      <c r="CJ84" s="94"/>
      <c r="CK84" s="94"/>
      <c r="CL84" s="19"/>
      <c r="CM84" s="47"/>
      <c r="CN84" s="19"/>
      <c r="CO84" s="19"/>
      <c r="CP84" s="19"/>
      <c r="CQ84" s="19"/>
      <c r="CR84" s="19"/>
      <c r="CS84" s="19"/>
      <c r="CT84" s="19"/>
      <c r="CU84" s="19"/>
      <c r="CV84" s="19"/>
      <c r="CW84" s="19"/>
      <c r="CX84" s="19"/>
      <c r="CY84" s="19"/>
    </row>
    <row r="85" spans="3:103" ht="3.75" hidden="1" customHeight="1" x14ac:dyDescent="0.3">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47"/>
      <c r="AL85" s="19"/>
      <c r="AM85" s="19"/>
      <c r="AN85" s="19"/>
      <c r="AO85" s="19"/>
      <c r="AP85" s="19"/>
      <c r="AQ85" s="19"/>
      <c r="AR85" s="19"/>
      <c r="AS85" s="19"/>
      <c r="AT85" s="19"/>
      <c r="AU85" s="19"/>
      <c r="AV85" s="19"/>
      <c r="AW85" s="19"/>
      <c r="BD85" s="20"/>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47"/>
      <c r="CN85" s="19"/>
      <c r="CO85" s="19"/>
      <c r="CP85" s="19"/>
      <c r="CQ85" s="19"/>
      <c r="CR85" s="19"/>
      <c r="CS85" s="19"/>
      <c r="CT85" s="19"/>
      <c r="CU85" s="19"/>
      <c r="CV85" s="19"/>
      <c r="CW85" s="19"/>
      <c r="CX85" s="19"/>
      <c r="CY85" s="19"/>
    </row>
    <row r="86" spans="3:103" hidden="1" x14ac:dyDescent="0.3">
      <c r="C86" s="19"/>
      <c r="D86" s="19"/>
      <c r="E86" s="19"/>
      <c r="F86" s="19"/>
      <c r="G86" s="19"/>
      <c r="H86" s="19"/>
      <c r="I86" s="19"/>
      <c r="J86" s="19"/>
      <c r="K86" s="19"/>
      <c r="L86" s="19"/>
      <c r="M86" s="24" t="s">
        <v>53</v>
      </c>
      <c r="N86" s="19"/>
      <c r="O86" s="671">
        <f>O84+183</f>
        <v>44926</v>
      </c>
      <c r="P86" s="672"/>
      <c r="Q86" s="672"/>
      <c r="R86" s="672"/>
      <c r="S86" s="672"/>
      <c r="T86" s="672"/>
      <c r="U86" s="672"/>
      <c r="V86" s="672"/>
      <c r="W86" s="673"/>
      <c r="X86" s="19"/>
      <c r="Y86" s="43">
        <f>O88+AA88</f>
        <v>0</v>
      </c>
      <c r="Z86" s="19"/>
      <c r="AA86" s="671">
        <f>EDATE(AA84,6)-1</f>
        <v>45107</v>
      </c>
      <c r="AB86" s="672"/>
      <c r="AC86" s="672"/>
      <c r="AD86" s="672"/>
      <c r="AE86" s="672"/>
      <c r="AF86" s="672"/>
      <c r="AG86" s="672"/>
      <c r="AH86" s="672"/>
      <c r="AI86" s="673"/>
      <c r="AJ86" s="19"/>
      <c r="AK86" s="47" t="s">
        <v>54</v>
      </c>
      <c r="AL86" s="19"/>
      <c r="AM86" s="19"/>
      <c r="AN86" s="19"/>
      <c r="AO86" s="19"/>
      <c r="AP86" s="19"/>
      <c r="AQ86" s="19"/>
      <c r="AR86" s="19"/>
      <c r="AS86" s="19"/>
      <c r="AT86" s="19"/>
      <c r="AU86" s="19"/>
      <c r="AV86" s="19"/>
      <c r="AW86" s="19"/>
      <c r="BD86" s="20"/>
      <c r="BE86" s="19"/>
      <c r="BF86" s="19"/>
      <c r="BG86" s="19"/>
      <c r="BH86" s="19"/>
      <c r="BI86" s="19"/>
      <c r="BJ86" s="19"/>
      <c r="BK86" s="19"/>
      <c r="BL86" s="19"/>
      <c r="BM86" s="19"/>
      <c r="BN86" s="19"/>
      <c r="BO86" s="24"/>
      <c r="BP86" s="19"/>
      <c r="BQ86" s="94"/>
      <c r="BR86" s="94"/>
      <c r="BS86" s="94"/>
      <c r="BT86" s="94"/>
      <c r="BU86" s="94"/>
      <c r="BV86" s="94"/>
      <c r="BW86" s="94"/>
      <c r="BX86" s="94"/>
      <c r="BY86" s="94"/>
      <c r="BZ86" s="19"/>
      <c r="CA86" s="44"/>
      <c r="CB86" s="19"/>
      <c r="CC86" s="94"/>
      <c r="CD86" s="94"/>
      <c r="CE86" s="94"/>
      <c r="CF86" s="94"/>
      <c r="CG86" s="94"/>
      <c r="CH86" s="94"/>
      <c r="CI86" s="94"/>
      <c r="CJ86" s="94"/>
      <c r="CK86" s="94"/>
      <c r="CL86" s="19"/>
      <c r="CM86" s="47"/>
      <c r="CN86" s="19"/>
      <c r="CO86" s="19"/>
      <c r="CP86" s="19"/>
      <c r="CQ86" s="19"/>
      <c r="CR86" s="19"/>
      <c r="CS86" s="19"/>
      <c r="CT86" s="19"/>
      <c r="CU86" s="19"/>
      <c r="CV86" s="19"/>
      <c r="CW86" s="19"/>
      <c r="CX86" s="19"/>
      <c r="CY86" s="19"/>
    </row>
    <row r="87" spans="3:103" ht="3.75" hidden="1" customHeight="1" x14ac:dyDescent="0.3">
      <c r="C87" s="19"/>
      <c r="D87" s="19"/>
      <c r="E87" s="19"/>
      <c r="F87" s="19"/>
      <c r="G87" s="19"/>
      <c r="H87" s="19"/>
      <c r="I87" s="19"/>
      <c r="J87" s="19"/>
      <c r="K87" s="19"/>
      <c r="L87" s="19"/>
      <c r="M87" s="19"/>
      <c r="N87" s="19"/>
      <c r="O87" s="19"/>
      <c r="P87" s="46" t="str">
        <f>"-"</f>
        <v>-</v>
      </c>
      <c r="Q87" s="19"/>
      <c r="R87" s="19"/>
      <c r="S87" s="19"/>
      <c r="T87" s="19"/>
      <c r="U87" s="19"/>
      <c r="V87" s="19"/>
      <c r="W87" s="19"/>
      <c r="X87" s="19"/>
      <c r="Y87" s="19"/>
      <c r="Z87" s="19"/>
      <c r="AA87" s="19"/>
      <c r="AB87" s="19"/>
      <c r="AC87" s="19"/>
      <c r="AD87" s="19"/>
      <c r="AE87" s="19"/>
      <c r="AF87" s="46" t="str">
        <f>"-"</f>
        <v>-</v>
      </c>
      <c r="AG87" s="19"/>
      <c r="AH87" s="19"/>
      <c r="AI87" s="19"/>
      <c r="AJ87" s="19"/>
      <c r="AK87" s="19"/>
      <c r="AL87" s="19"/>
      <c r="AM87" s="19"/>
      <c r="AN87" s="19"/>
      <c r="AO87" s="19"/>
      <c r="AP87" s="19"/>
      <c r="AQ87" s="19"/>
      <c r="AR87" s="19"/>
      <c r="AS87" s="19"/>
      <c r="AT87" s="19"/>
      <c r="AU87" s="19"/>
      <c r="AV87" s="19"/>
      <c r="AW87" s="19"/>
      <c r="BD87" s="20"/>
      <c r="BE87" s="19"/>
      <c r="BF87" s="19"/>
      <c r="BG87" s="19"/>
      <c r="BH87" s="19"/>
      <c r="BI87" s="19"/>
      <c r="BJ87" s="19"/>
      <c r="BK87" s="19"/>
      <c r="BL87" s="19"/>
      <c r="BM87" s="19"/>
      <c r="BN87" s="19"/>
      <c r="BO87" s="19"/>
      <c r="BP87" s="19"/>
      <c r="BQ87" s="19"/>
      <c r="BR87" s="46"/>
      <c r="BS87" s="19"/>
      <c r="BT87" s="19"/>
      <c r="BU87" s="19"/>
      <c r="BV87" s="19"/>
      <c r="BW87" s="19"/>
      <c r="BX87" s="19"/>
      <c r="BY87" s="19"/>
      <c r="BZ87" s="19"/>
      <c r="CA87" s="19"/>
      <c r="CB87" s="19"/>
      <c r="CC87" s="19"/>
      <c r="CD87" s="19"/>
      <c r="CE87" s="19"/>
      <c r="CF87" s="19"/>
      <c r="CG87" s="19"/>
      <c r="CH87" s="46"/>
      <c r="CI87" s="19"/>
      <c r="CJ87" s="19"/>
      <c r="CK87" s="19"/>
      <c r="CL87" s="19"/>
      <c r="CM87" s="19"/>
      <c r="CN87" s="19"/>
      <c r="CO87" s="19"/>
      <c r="CP87" s="19"/>
      <c r="CQ87" s="19"/>
      <c r="CR87" s="19"/>
      <c r="CS87" s="19"/>
      <c r="CT87" s="19"/>
      <c r="CU87" s="19"/>
      <c r="CV87" s="19"/>
      <c r="CW87" s="19"/>
      <c r="CX87" s="19"/>
      <c r="CY87" s="19"/>
    </row>
    <row r="88" spans="3:103" hidden="1" x14ac:dyDescent="0.3">
      <c r="C88" s="19"/>
      <c r="D88" s="19"/>
      <c r="E88" s="19"/>
      <c r="F88" s="19"/>
      <c r="G88" s="19"/>
      <c r="H88" s="19"/>
      <c r="I88" s="19"/>
      <c r="J88" s="19"/>
      <c r="K88" s="19"/>
      <c r="L88" s="19"/>
      <c r="M88" s="24" t="s">
        <v>55</v>
      </c>
      <c r="N88" s="19"/>
      <c r="O88" s="667">
        <f>AU128</f>
        <v>0</v>
      </c>
      <c r="P88" s="668"/>
      <c r="Q88" s="668"/>
      <c r="R88" s="668"/>
      <c r="S88" s="668"/>
      <c r="T88" s="668"/>
      <c r="U88" s="668"/>
      <c r="V88" s="668"/>
      <c r="W88" s="669"/>
      <c r="X88" s="19"/>
      <c r="Y88" s="19"/>
      <c r="Z88" s="19"/>
      <c r="AA88" s="667">
        <f>AU135</f>
        <v>0</v>
      </c>
      <c r="AB88" s="668"/>
      <c r="AC88" s="668"/>
      <c r="AD88" s="668"/>
      <c r="AE88" s="668"/>
      <c r="AF88" s="668"/>
      <c r="AG88" s="668"/>
      <c r="AH88" s="668"/>
      <c r="AI88" s="669"/>
      <c r="AJ88" s="19"/>
      <c r="AK88" s="47" t="s">
        <v>56</v>
      </c>
      <c r="AL88" s="19"/>
      <c r="AM88" s="19"/>
      <c r="AN88" s="19"/>
      <c r="AO88" s="19"/>
      <c r="AP88" s="19"/>
      <c r="AQ88" s="19"/>
      <c r="AR88" s="19"/>
      <c r="AS88" s="19"/>
      <c r="AT88" s="19"/>
      <c r="AU88" s="19"/>
      <c r="AV88" s="19"/>
      <c r="AW88" s="19"/>
      <c r="BD88" s="20"/>
      <c r="BE88" s="19"/>
      <c r="BF88" s="19"/>
      <c r="BG88" s="19"/>
      <c r="BH88" s="19"/>
      <c r="BI88" s="19"/>
      <c r="BJ88" s="19"/>
      <c r="BK88" s="19"/>
      <c r="BL88" s="19"/>
      <c r="BM88" s="19"/>
      <c r="BN88" s="19"/>
      <c r="BO88" s="24"/>
      <c r="BP88" s="19"/>
      <c r="BQ88" s="44"/>
      <c r="BR88" s="44"/>
      <c r="BS88" s="44"/>
      <c r="BT88" s="44"/>
      <c r="BU88" s="44"/>
      <c r="BV88" s="44"/>
      <c r="BW88" s="44"/>
      <c r="BX88" s="44"/>
      <c r="BY88" s="44"/>
      <c r="BZ88" s="19"/>
      <c r="CA88" s="19"/>
      <c r="CB88" s="19"/>
      <c r="CC88" s="44"/>
      <c r="CD88" s="44"/>
      <c r="CE88" s="44"/>
      <c r="CF88" s="44"/>
      <c r="CG88" s="44"/>
      <c r="CH88" s="44"/>
      <c r="CI88" s="44"/>
      <c r="CJ88" s="44"/>
      <c r="CK88" s="44"/>
      <c r="CL88" s="19"/>
      <c r="CM88" s="47"/>
      <c r="CN88" s="19"/>
      <c r="CO88" s="19"/>
      <c r="CP88" s="19"/>
      <c r="CQ88" s="19"/>
      <c r="CR88" s="19"/>
      <c r="CS88" s="19"/>
      <c r="CT88" s="19"/>
      <c r="CU88" s="19"/>
      <c r="CV88" s="19"/>
      <c r="CW88" s="19"/>
      <c r="CX88" s="19"/>
      <c r="CY88" s="19"/>
    </row>
    <row r="89" spans="3:103" ht="3.75" hidden="1" customHeight="1" x14ac:dyDescent="0.3">
      <c r="C89" s="19"/>
      <c r="D89" s="19"/>
      <c r="E89" s="19"/>
      <c r="F89" s="19"/>
      <c r="G89" s="19"/>
      <c r="H89" s="19"/>
      <c r="I89" s="19"/>
      <c r="J89" s="19"/>
      <c r="K89" s="19"/>
      <c r="L89" s="19"/>
      <c r="M89" s="19"/>
      <c r="N89" s="19"/>
      <c r="O89" s="19"/>
      <c r="P89" s="25"/>
      <c r="Q89" s="25"/>
      <c r="R89" s="19"/>
      <c r="S89" s="19"/>
      <c r="T89" s="19"/>
      <c r="U89" s="19"/>
      <c r="V89" s="19"/>
      <c r="W89" s="19"/>
      <c r="X89" s="19"/>
      <c r="Y89" s="19"/>
      <c r="Z89" s="19"/>
      <c r="AA89" s="19"/>
      <c r="AB89" s="19"/>
      <c r="AC89" s="19"/>
      <c r="AD89" s="19"/>
      <c r="AE89" s="19"/>
      <c r="AF89" s="25"/>
      <c r="AG89" s="25"/>
      <c r="AH89" s="19"/>
      <c r="AI89" s="19"/>
      <c r="AJ89" s="19"/>
      <c r="AK89" s="19"/>
      <c r="AL89" s="19"/>
      <c r="AM89" s="19"/>
      <c r="AN89" s="19"/>
      <c r="AO89" s="19"/>
      <c r="AP89" s="19"/>
      <c r="AQ89" s="19"/>
      <c r="AR89" s="19"/>
      <c r="AS89" s="19"/>
      <c r="AT89" s="19"/>
      <c r="AU89" s="19"/>
      <c r="AV89" s="19"/>
      <c r="AW89" s="19"/>
      <c r="BD89" s="20"/>
      <c r="BE89" s="19"/>
      <c r="BF89" s="19"/>
      <c r="BG89" s="19"/>
      <c r="BH89" s="19"/>
      <c r="BI89" s="19"/>
      <c r="BJ89" s="19"/>
      <c r="BK89" s="19"/>
      <c r="BL89" s="19"/>
      <c r="BM89" s="19"/>
      <c r="BN89" s="19"/>
      <c r="BO89" s="19"/>
      <c r="BP89" s="19"/>
      <c r="BQ89" s="19"/>
      <c r="BR89" s="25"/>
      <c r="BS89" s="25"/>
      <c r="BT89" s="19"/>
      <c r="BU89" s="19"/>
      <c r="BV89" s="19"/>
      <c r="BW89" s="19"/>
      <c r="BX89" s="19"/>
      <c r="BY89" s="19"/>
      <c r="BZ89" s="19"/>
      <c r="CA89" s="19"/>
      <c r="CB89" s="19"/>
      <c r="CC89" s="19"/>
      <c r="CD89" s="19"/>
      <c r="CE89" s="19"/>
      <c r="CF89" s="19"/>
      <c r="CG89" s="19"/>
      <c r="CH89" s="25"/>
      <c r="CI89" s="25"/>
      <c r="CJ89" s="19"/>
      <c r="CK89" s="19"/>
      <c r="CL89" s="19"/>
      <c r="CM89" s="19"/>
      <c r="CN89" s="19"/>
      <c r="CO89" s="19"/>
      <c r="CP89" s="19"/>
      <c r="CQ89" s="19"/>
      <c r="CR89" s="19"/>
      <c r="CS89" s="19"/>
      <c r="CT89" s="19"/>
      <c r="CU89" s="19"/>
      <c r="CV89" s="19"/>
      <c r="CW89" s="19"/>
      <c r="CX89" s="19"/>
      <c r="CY89" s="19"/>
    </row>
    <row r="90" spans="3:103" hidden="1" x14ac:dyDescent="0.3">
      <c r="C90" s="19"/>
      <c r="D90" s="19"/>
      <c r="E90" s="19"/>
      <c r="F90" s="19"/>
      <c r="G90" s="19"/>
      <c r="H90" s="19"/>
      <c r="I90" s="19"/>
      <c r="J90" s="19"/>
      <c r="K90" s="19"/>
      <c r="L90" s="19"/>
      <c r="M90" s="19"/>
      <c r="N90" s="19"/>
      <c r="O90" s="670" t="str">
        <f>CONCATENATE("Univ FY",$AS$40)</f>
        <v>Univ FY2024</v>
      </c>
      <c r="P90" s="670"/>
      <c r="Q90" s="670"/>
      <c r="R90" s="670"/>
      <c r="S90" s="670"/>
      <c r="T90" s="670"/>
      <c r="U90" s="670"/>
      <c r="V90" s="670"/>
      <c r="W90" s="670"/>
      <c r="X90" s="670"/>
      <c r="Y90" s="670"/>
      <c r="Z90" s="670"/>
      <c r="AA90" s="670"/>
      <c r="AB90" s="670"/>
      <c r="AC90" s="670"/>
      <c r="AD90" s="670"/>
      <c r="AE90" s="670"/>
      <c r="AF90" s="670"/>
      <c r="AG90" s="670"/>
      <c r="AH90" s="670"/>
      <c r="AI90" s="670"/>
      <c r="AJ90" s="19"/>
      <c r="AK90" s="45" t="str">
        <f>CONCATENATE("Univ FY",$AS$40)</f>
        <v>Univ FY2024</v>
      </c>
      <c r="AL90" s="19"/>
      <c r="AM90" s="19"/>
      <c r="AN90" s="19"/>
      <c r="AO90" s="19"/>
      <c r="AP90" s="19"/>
      <c r="AQ90" s="19"/>
      <c r="AR90" s="19"/>
      <c r="AS90" s="19"/>
      <c r="AT90" s="19"/>
      <c r="AU90" s="19"/>
      <c r="AV90" s="19"/>
      <c r="AW90" s="19"/>
      <c r="BD90" s="20"/>
      <c r="BE90" s="19"/>
      <c r="BF90" s="19"/>
      <c r="BG90" s="19"/>
      <c r="BH90" s="19"/>
      <c r="BI90" s="19"/>
      <c r="BJ90" s="19"/>
      <c r="BK90" s="19"/>
      <c r="BL90" s="19"/>
      <c r="BM90" s="19"/>
      <c r="BN90" s="19"/>
      <c r="BO90" s="19"/>
      <c r="BP90" s="19"/>
      <c r="BQ90" s="44"/>
      <c r="BR90" s="44"/>
      <c r="BS90" s="44"/>
      <c r="BT90" s="44"/>
      <c r="BU90" s="44"/>
      <c r="BV90" s="44"/>
      <c r="BW90" s="44"/>
      <c r="BX90" s="44"/>
      <c r="BY90" s="44"/>
      <c r="BZ90" s="44"/>
      <c r="CA90" s="44"/>
      <c r="CB90" s="44"/>
      <c r="CC90" s="44"/>
      <c r="CD90" s="44"/>
      <c r="CE90" s="44"/>
      <c r="CF90" s="44"/>
      <c r="CG90" s="44"/>
      <c r="CH90" s="44"/>
      <c r="CI90" s="44"/>
      <c r="CJ90" s="44"/>
      <c r="CK90" s="44"/>
      <c r="CL90" s="19"/>
      <c r="CM90" s="45"/>
      <c r="CN90" s="19"/>
      <c r="CO90" s="19"/>
      <c r="CP90" s="19"/>
      <c r="CQ90" s="19"/>
      <c r="CR90" s="19"/>
      <c r="CS90" s="19"/>
      <c r="CT90" s="19"/>
      <c r="CU90" s="19"/>
      <c r="CV90" s="19"/>
      <c r="CW90" s="19"/>
      <c r="CX90" s="19"/>
      <c r="CY90" s="19"/>
    </row>
    <row r="91" spans="3:103" ht="3.75" hidden="1" customHeight="1" x14ac:dyDescent="0.3">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BD91" s="20"/>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row>
    <row r="92" spans="3:103" hidden="1" x14ac:dyDescent="0.3">
      <c r="C92" s="19"/>
      <c r="D92" s="19"/>
      <c r="E92" s="19"/>
      <c r="F92" s="19"/>
      <c r="G92" s="19"/>
      <c r="H92" s="19"/>
      <c r="I92" s="19"/>
      <c r="J92" s="19"/>
      <c r="K92" s="19"/>
      <c r="L92" s="19"/>
      <c r="M92" s="24" t="s">
        <v>57</v>
      </c>
      <c r="N92" s="19"/>
      <c r="O92" s="671">
        <f>AA86+1</f>
        <v>45108</v>
      </c>
      <c r="P92" s="672"/>
      <c r="Q92" s="672"/>
      <c r="R92" s="672"/>
      <c r="S92" s="672"/>
      <c r="T92" s="672"/>
      <c r="U92" s="672"/>
      <c r="V92" s="672"/>
      <c r="W92" s="673"/>
      <c r="X92" s="19"/>
      <c r="Y92" s="19"/>
      <c r="Z92" s="19"/>
      <c r="AA92" s="671">
        <f>O94+1</f>
        <v>45292</v>
      </c>
      <c r="AB92" s="672"/>
      <c r="AC92" s="672"/>
      <c r="AD92" s="672"/>
      <c r="AE92" s="672"/>
      <c r="AF92" s="672"/>
      <c r="AG92" s="672"/>
      <c r="AH92" s="672"/>
      <c r="AI92" s="673"/>
      <c r="AJ92" s="19"/>
      <c r="AK92" s="47" t="s">
        <v>58</v>
      </c>
      <c r="AL92" s="19"/>
      <c r="AM92" s="19"/>
      <c r="AN92" s="19"/>
      <c r="AO92" s="19"/>
      <c r="AP92" s="19"/>
      <c r="AQ92" s="19"/>
      <c r="AR92" s="19"/>
      <c r="AS92" s="19"/>
      <c r="AT92" s="19"/>
      <c r="AU92" s="19"/>
      <c r="AV92" s="19"/>
      <c r="AW92" s="19"/>
      <c r="BD92" s="20"/>
      <c r="BE92" s="19"/>
      <c r="BF92" s="19"/>
      <c r="BG92" s="19"/>
      <c r="BH92" s="19"/>
      <c r="BI92" s="19"/>
      <c r="BJ92" s="19"/>
      <c r="BK92" s="19"/>
      <c r="BL92" s="19"/>
      <c r="BM92" s="19"/>
      <c r="BN92" s="19"/>
      <c r="BO92" s="24"/>
      <c r="BP92" s="19"/>
      <c r="BQ92" s="94"/>
      <c r="BR92" s="94"/>
      <c r="BS92" s="94"/>
      <c r="BT92" s="94"/>
      <c r="BU92" s="94"/>
      <c r="BV92" s="94"/>
      <c r="BW92" s="94"/>
      <c r="BX92" s="94"/>
      <c r="BY92" s="94"/>
      <c r="BZ92" s="19"/>
      <c r="CA92" s="19"/>
      <c r="CB92" s="19"/>
      <c r="CC92" s="94"/>
      <c r="CD92" s="94"/>
      <c r="CE92" s="94"/>
      <c r="CF92" s="94"/>
      <c r="CG92" s="94"/>
      <c r="CH92" s="94"/>
      <c r="CI92" s="94"/>
      <c r="CJ92" s="94"/>
      <c r="CK92" s="94"/>
      <c r="CL92" s="19"/>
      <c r="CM92" s="47"/>
      <c r="CN92" s="19"/>
      <c r="CO92" s="19"/>
      <c r="CP92" s="19"/>
      <c r="CQ92" s="19"/>
      <c r="CR92" s="19"/>
      <c r="CS92" s="19"/>
      <c r="CT92" s="19"/>
      <c r="CU92" s="19"/>
      <c r="CV92" s="19"/>
      <c r="CW92" s="19"/>
      <c r="CX92" s="19"/>
      <c r="CY92" s="19"/>
    </row>
    <row r="93" spans="3:103" ht="3.75" hidden="1" customHeight="1" x14ac:dyDescent="0.3">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47"/>
      <c r="AL93" s="19"/>
      <c r="AM93" s="19"/>
      <c r="AN93" s="19"/>
      <c r="AO93" s="19"/>
      <c r="AP93" s="19"/>
      <c r="AQ93" s="19"/>
      <c r="AR93" s="19"/>
      <c r="AS93" s="19"/>
      <c r="AT93" s="19"/>
      <c r="AU93" s="19"/>
      <c r="AV93" s="19"/>
      <c r="AW93" s="19"/>
      <c r="BD93" s="20"/>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47"/>
      <c r="CN93" s="19"/>
      <c r="CO93" s="19"/>
      <c r="CP93" s="19"/>
      <c r="CQ93" s="19"/>
      <c r="CR93" s="19"/>
      <c r="CS93" s="19"/>
      <c r="CT93" s="19"/>
      <c r="CU93" s="19"/>
      <c r="CV93" s="19"/>
      <c r="CW93" s="19"/>
      <c r="CX93" s="19"/>
      <c r="CY93" s="19"/>
    </row>
    <row r="94" spans="3:103" hidden="1" x14ac:dyDescent="0.3">
      <c r="C94" s="19"/>
      <c r="D94" s="19"/>
      <c r="E94" s="19"/>
      <c r="F94" s="19"/>
      <c r="G94" s="19"/>
      <c r="H94" s="19"/>
      <c r="I94" s="19"/>
      <c r="J94" s="19"/>
      <c r="K94" s="19"/>
      <c r="L94" s="19"/>
      <c r="M94" s="24" t="s">
        <v>59</v>
      </c>
      <c r="N94" s="19"/>
      <c r="O94" s="671">
        <f>O92+183</f>
        <v>45291</v>
      </c>
      <c r="P94" s="672"/>
      <c r="Q94" s="672"/>
      <c r="R94" s="672"/>
      <c r="S94" s="672"/>
      <c r="T94" s="672"/>
      <c r="U94" s="672"/>
      <c r="V94" s="672"/>
      <c r="W94" s="673"/>
      <c r="X94" s="19"/>
      <c r="Y94" s="43">
        <f>O96+AA96</f>
        <v>0</v>
      </c>
      <c r="Z94" s="19"/>
      <c r="AA94" s="671">
        <f>EDATE(AA92,6)-1</f>
        <v>45473</v>
      </c>
      <c r="AB94" s="672"/>
      <c r="AC94" s="672"/>
      <c r="AD94" s="672"/>
      <c r="AE94" s="672"/>
      <c r="AF94" s="672"/>
      <c r="AG94" s="672"/>
      <c r="AH94" s="672"/>
      <c r="AI94" s="673"/>
      <c r="AJ94" s="19"/>
      <c r="AK94" s="47" t="s">
        <v>60</v>
      </c>
      <c r="AL94" s="19"/>
      <c r="AM94" s="19"/>
      <c r="AN94" s="19"/>
      <c r="AO94" s="19"/>
      <c r="AP94" s="19"/>
      <c r="AQ94" s="19"/>
      <c r="AR94" s="19"/>
      <c r="AS94" s="19"/>
      <c r="AT94" s="19"/>
      <c r="AU94" s="19"/>
      <c r="AV94" s="19"/>
      <c r="AW94" s="19"/>
      <c r="BD94" s="20"/>
      <c r="BE94" s="19"/>
      <c r="BF94" s="19"/>
      <c r="BG94" s="19"/>
      <c r="BH94" s="19"/>
      <c r="BI94" s="19"/>
      <c r="BJ94" s="19"/>
      <c r="BK94" s="19"/>
      <c r="BL94" s="19"/>
      <c r="BM94" s="19"/>
      <c r="BN94" s="19"/>
      <c r="BO94" s="24"/>
      <c r="BP94" s="19"/>
      <c r="BQ94" s="94"/>
      <c r="BR94" s="94"/>
      <c r="BS94" s="94"/>
      <c r="BT94" s="94"/>
      <c r="BU94" s="94"/>
      <c r="BV94" s="94"/>
      <c r="BW94" s="94"/>
      <c r="BX94" s="94"/>
      <c r="BY94" s="94"/>
      <c r="BZ94" s="19"/>
      <c r="CA94" s="44"/>
      <c r="CB94" s="19"/>
      <c r="CC94" s="94"/>
      <c r="CD94" s="94"/>
      <c r="CE94" s="94"/>
      <c r="CF94" s="94"/>
      <c r="CG94" s="94"/>
      <c r="CH94" s="94"/>
      <c r="CI94" s="94"/>
      <c r="CJ94" s="94"/>
      <c r="CK94" s="94"/>
      <c r="CL94" s="19"/>
      <c r="CM94" s="47"/>
      <c r="CN94" s="19"/>
      <c r="CO94" s="19"/>
      <c r="CP94" s="19"/>
      <c r="CQ94" s="19"/>
      <c r="CR94" s="19"/>
      <c r="CS94" s="19"/>
      <c r="CT94" s="19"/>
      <c r="CU94" s="19"/>
      <c r="CV94" s="19"/>
      <c r="CW94" s="19"/>
      <c r="CX94" s="19"/>
      <c r="CY94" s="19"/>
    </row>
    <row r="95" spans="3:103" ht="3.75" hidden="1" customHeight="1" x14ac:dyDescent="0.3">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BD95" s="20"/>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row>
    <row r="96" spans="3:103" hidden="1" x14ac:dyDescent="0.3">
      <c r="C96" s="19"/>
      <c r="D96" s="19"/>
      <c r="E96" s="19"/>
      <c r="F96" s="19"/>
      <c r="G96" s="19"/>
      <c r="H96" s="19"/>
      <c r="I96" s="19"/>
      <c r="J96" s="19"/>
      <c r="K96" s="19"/>
      <c r="L96" s="19"/>
      <c r="M96" s="48" t="s">
        <v>61</v>
      </c>
      <c r="N96" s="19"/>
      <c r="O96" s="667">
        <f>K149</f>
        <v>0</v>
      </c>
      <c r="P96" s="668"/>
      <c r="Q96" s="668"/>
      <c r="R96" s="668"/>
      <c r="S96" s="668"/>
      <c r="T96" s="668"/>
      <c r="U96" s="668"/>
      <c r="V96" s="668"/>
      <c r="W96" s="669"/>
      <c r="X96" s="19"/>
      <c r="Y96" s="19"/>
      <c r="Z96" s="19"/>
      <c r="AA96" s="667">
        <f>K156</f>
        <v>0</v>
      </c>
      <c r="AB96" s="668"/>
      <c r="AC96" s="668"/>
      <c r="AD96" s="668"/>
      <c r="AE96" s="668"/>
      <c r="AF96" s="668"/>
      <c r="AG96" s="668"/>
      <c r="AH96" s="668"/>
      <c r="AI96" s="669"/>
      <c r="AJ96" s="19"/>
      <c r="AK96" s="47" t="s">
        <v>62</v>
      </c>
      <c r="AL96" s="19"/>
      <c r="AM96" s="19"/>
      <c r="AN96" s="19"/>
      <c r="AO96" s="19"/>
      <c r="AP96" s="19"/>
      <c r="AQ96" s="19"/>
      <c r="AR96" s="19"/>
      <c r="AS96" s="19"/>
      <c r="AT96" s="19"/>
      <c r="AU96" s="19"/>
      <c r="AV96" s="19"/>
      <c r="AW96" s="19"/>
      <c r="BD96" s="20"/>
      <c r="BE96" s="19"/>
      <c r="BF96" s="19"/>
      <c r="BG96" s="19"/>
      <c r="BH96" s="19"/>
      <c r="BI96" s="19"/>
      <c r="BJ96" s="19"/>
      <c r="BK96" s="19"/>
      <c r="BL96" s="19"/>
      <c r="BM96" s="19"/>
      <c r="BN96" s="19"/>
      <c r="BO96" s="24"/>
      <c r="BP96" s="19"/>
      <c r="BQ96" s="44"/>
      <c r="BR96" s="44"/>
      <c r="BS96" s="44"/>
      <c r="BT96" s="44"/>
      <c r="BU96" s="44"/>
      <c r="BV96" s="44"/>
      <c r="BW96" s="44"/>
      <c r="BX96" s="44"/>
      <c r="BY96" s="44"/>
      <c r="BZ96" s="19"/>
      <c r="CA96" s="19"/>
      <c r="CB96" s="19"/>
      <c r="CC96" s="44"/>
      <c r="CD96" s="44"/>
      <c r="CE96" s="44"/>
      <c r="CF96" s="44"/>
      <c r="CG96" s="44"/>
      <c r="CH96" s="44"/>
      <c r="CI96" s="44"/>
      <c r="CJ96" s="44"/>
      <c r="CK96" s="44"/>
      <c r="CL96" s="19"/>
      <c r="CM96" s="47"/>
      <c r="CN96" s="19"/>
      <c r="CO96" s="19"/>
      <c r="CP96" s="19"/>
      <c r="CQ96" s="19"/>
      <c r="CR96" s="19"/>
      <c r="CS96" s="19"/>
      <c r="CT96" s="19"/>
      <c r="CU96" s="19"/>
      <c r="CV96" s="19"/>
      <c r="CW96" s="19"/>
      <c r="CX96" s="19"/>
      <c r="CY96" s="19"/>
    </row>
    <row r="97" spans="3:103" ht="3.75" hidden="1" customHeight="1" x14ac:dyDescent="0.3">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BD97" s="20"/>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row>
    <row r="98" spans="3:103" hidden="1" x14ac:dyDescent="0.3">
      <c r="C98" s="19"/>
      <c r="D98" s="19"/>
      <c r="E98" s="19"/>
      <c r="F98" s="19"/>
      <c r="G98" s="19"/>
      <c r="H98" s="19"/>
      <c r="I98" s="19"/>
      <c r="J98" s="19"/>
      <c r="K98" s="19"/>
      <c r="L98" s="19"/>
      <c r="M98" s="19"/>
      <c r="N98" s="19"/>
      <c r="O98" s="670" t="str">
        <f>CONCATENATE("Univ FY",$AS$41)</f>
        <v>Univ FY2025</v>
      </c>
      <c r="P98" s="670"/>
      <c r="Q98" s="670"/>
      <c r="R98" s="670"/>
      <c r="S98" s="670"/>
      <c r="T98" s="670"/>
      <c r="U98" s="670"/>
      <c r="V98" s="670"/>
      <c r="W98" s="670"/>
      <c r="X98" s="670"/>
      <c r="Y98" s="670"/>
      <c r="Z98" s="670"/>
      <c r="AA98" s="670"/>
      <c r="AB98" s="670"/>
      <c r="AC98" s="670"/>
      <c r="AD98" s="670"/>
      <c r="AE98" s="670"/>
      <c r="AF98" s="670"/>
      <c r="AG98" s="670"/>
      <c r="AH98" s="670"/>
      <c r="AI98" s="670"/>
      <c r="AJ98" s="19"/>
      <c r="AK98" s="45" t="str">
        <f>O98</f>
        <v>Univ FY2025</v>
      </c>
      <c r="AL98" s="19"/>
      <c r="AM98" s="19"/>
      <c r="AN98" s="19"/>
      <c r="AO98" s="19"/>
      <c r="AP98" s="19"/>
      <c r="AQ98" s="19"/>
      <c r="AR98" s="19"/>
      <c r="AS98" s="19"/>
      <c r="AT98" s="19"/>
      <c r="AU98" s="19"/>
      <c r="AV98" s="19"/>
      <c r="AW98" s="19"/>
      <c r="BD98" s="20"/>
      <c r="BE98" s="19"/>
      <c r="BF98" s="19"/>
      <c r="BG98" s="19"/>
      <c r="BH98" s="19"/>
      <c r="BI98" s="19"/>
      <c r="BJ98" s="19"/>
      <c r="BK98" s="19"/>
      <c r="BL98" s="19"/>
      <c r="BM98" s="19"/>
      <c r="BN98" s="19"/>
      <c r="BO98" s="19"/>
      <c r="BP98" s="19"/>
      <c r="BQ98" s="44"/>
      <c r="BR98" s="44"/>
      <c r="BS98" s="44"/>
      <c r="BT98" s="44"/>
      <c r="BU98" s="44"/>
      <c r="BV98" s="44"/>
      <c r="BW98" s="44"/>
      <c r="BX98" s="44"/>
      <c r="BY98" s="44"/>
      <c r="BZ98" s="44"/>
      <c r="CA98" s="44"/>
      <c r="CB98" s="44"/>
      <c r="CC98" s="44"/>
      <c r="CD98" s="44"/>
      <c r="CE98" s="44"/>
      <c r="CF98" s="44"/>
      <c r="CG98" s="44"/>
      <c r="CH98" s="44"/>
      <c r="CI98" s="44"/>
      <c r="CJ98" s="44"/>
      <c r="CK98" s="44"/>
      <c r="CL98" s="19"/>
      <c r="CM98" s="45"/>
      <c r="CN98" s="19"/>
      <c r="CO98" s="19"/>
      <c r="CP98" s="19"/>
      <c r="CQ98" s="19"/>
      <c r="CR98" s="19"/>
      <c r="CS98" s="19"/>
      <c r="CT98" s="19"/>
      <c r="CU98" s="19"/>
      <c r="CV98" s="19"/>
      <c r="CW98" s="19"/>
      <c r="CX98" s="19"/>
      <c r="CY98" s="19"/>
    </row>
    <row r="99" spans="3:103" ht="3.75" hidden="1" customHeight="1" x14ac:dyDescent="0.3">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BD99" s="20"/>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row>
    <row r="100" spans="3:103" hidden="1" x14ac:dyDescent="0.3">
      <c r="C100" s="19"/>
      <c r="D100" s="19"/>
      <c r="E100" s="19"/>
      <c r="F100" s="19"/>
      <c r="G100" s="19"/>
      <c r="H100" s="19"/>
      <c r="I100" s="19"/>
      <c r="J100" s="19"/>
      <c r="K100" s="19"/>
      <c r="L100" s="19"/>
      <c r="M100" s="24" t="s">
        <v>63</v>
      </c>
      <c r="N100" s="19"/>
      <c r="O100" s="671">
        <f>AA94+1</f>
        <v>45474</v>
      </c>
      <c r="P100" s="672"/>
      <c r="Q100" s="672"/>
      <c r="R100" s="672"/>
      <c r="S100" s="672"/>
      <c r="T100" s="672"/>
      <c r="U100" s="672"/>
      <c r="V100" s="672"/>
      <c r="W100" s="673"/>
      <c r="X100" s="19"/>
      <c r="Y100" s="19"/>
      <c r="Z100" s="19"/>
      <c r="AA100" s="671">
        <f>O102+1</f>
        <v>45658</v>
      </c>
      <c r="AB100" s="672"/>
      <c r="AC100" s="672"/>
      <c r="AD100" s="672"/>
      <c r="AE100" s="672"/>
      <c r="AF100" s="672"/>
      <c r="AG100" s="672"/>
      <c r="AH100" s="672"/>
      <c r="AI100" s="673"/>
      <c r="AJ100" s="19"/>
      <c r="AK100" s="47" t="s">
        <v>64</v>
      </c>
      <c r="AL100" s="19"/>
      <c r="AM100" s="19"/>
      <c r="AN100" s="19"/>
      <c r="AO100" s="19"/>
      <c r="AP100" s="19"/>
      <c r="AQ100" s="19"/>
      <c r="AR100" s="19"/>
      <c r="AS100" s="19"/>
      <c r="AT100" s="19"/>
      <c r="AU100" s="19"/>
      <c r="AV100" s="19"/>
      <c r="AW100" s="19"/>
      <c r="BD100" s="20"/>
      <c r="BE100" s="19"/>
      <c r="BF100" s="19"/>
      <c r="BG100" s="19"/>
      <c r="BH100" s="19"/>
      <c r="BI100" s="19"/>
      <c r="BJ100" s="19"/>
      <c r="BK100" s="19"/>
      <c r="BL100" s="19"/>
      <c r="BM100" s="19"/>
      <c r="BN100" s="19"/>
      <c r="BO100" s="24"/>
      <c r="BP100" s="19"/>
      <c r="BQ100" s="94"/>
      <c r="BR100" s="94"/>
      <c r="BS100" s="94"/>
      <c r="BT100" s="94"/>
      <c r="BU100" s="94"/>
      <c r="BV100" s="94"/>
      <c r="BW100" s="94"/>
      <c r="BX100" s="94"/>
      <c r="BY100" s="94"/>
      <c r="BZ100" s="19"/>
      <c r="CA100" s="19"/>
      <c r="CB100" s="19"/>
      <c r="CC100" s="94"/>
      <c r="CD100" s="94"/>
      <c r="CE100" s="94"/>
      <c r="CF100" s="94"/>
      <c r="CG100" s="94"/>
      <c r="CH100" s="94"/>
      <c r="CI100" s="94"/>
      <c r="CJ100" s="94"/>
      <c r="CK100" s="94"/>
      <c r="CL100" s="19"/>
      <c r="CM100" s="47"/>
      <c r="CN100" s="19"/>
      <c r="CO100" s="19"/>
      <c r="CP100" s="19"/>
      <c r="CQ100" s="19"/>
      <c r="CR100" s="19"/>
      <c r="CS100" s="19"/>
      <c r="CT100" s="19"/>
      <c r="CU100" s="19"/>
      <c r="CV100" s="19"/>
      <c r="CW100" s="19"/>
      <c r="CX100" s="19"/>
      <c r="CY100" s="19"/>
    </row>
    <row r="101" spans="3:103" ht="3.75" hidden="1" customHeight="1" x14ac:dyDescent="0.3">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47"/>
      <c r="AL101" s="19"/>
      <c r="AM101" s="19"/>
      <c r="AN101" s="19"/>
      <c r="AO101" s="19"/>
      <c r="AP101" s="19"/>
      <c r="AQ101" s="19"/>
      <c r="AR101" s="19"/>
      <c r="AS101" s="19"/>
      <c r="AT101" s="19"/>
      <c r="AU101" s="19"/>
      <c r="AV101" s="19"/>
      <c r="AW101" s="19"/>
      <c r="BD101" s="20"/>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47"/>
      <c r="CN101" s="19"/>
      <c r="CO101" s="19"/>
      <c r="CP101" s="19"/>
      <c r="CQ101" s="19"/>
      <c r="CR101" s="19"/>
      <c r="CS101" s="19"/>
      <c r="CT101" s="19"/>
      <c r="CU101" s="19"/>
      <c r="CV101" s="19"/>
      <c r="CW101" s="19"/>
      <c r="CX101" s="19"/>
      <c r="CY101" s="19"/>
    </row>
    <row r="102" spans="3:103" hidden="1" x14ac:dyDescent="0.3">
      <c r="C102" s="19"/>
      <c r="D102" s="19"/>
      <c r="E102" s="19"/>
      <c r="F102" s="19"/>
      <c r="G102" s="19"/>
      <c r="H102" s="19"/>
      <c r="I102" s="19"/>
      <c r="J102" s="19"/>
      <c r="K102" s="19"/>
      <c r="L102" s="19"/>
      <c r="M102" s="24" t="s">
        <v>65</v>
      </c>
      <c r="N102" s="19"/>
      <c r="O102" s="671">
        <f>O100+183</f>
        <v>45657</v>
      </c>
      <c r="P102" s="672"/>
      <c r="Q102" s="672"/>
      <c r="R102" s="672"/>
      <c r="S102" s="672"/>
      <c r="T102" s="672"/>
      <c r="U102" s="672"/>
      <c r="V102" s="672"/>
      <c r="W102" s="673"/>
      <c r="X102" s="19"/>
      <c r="Y102" s="43">
        <f>O104+AA104</f>
        <v>0</v>
      </c>
      <c r="Z102" s="19"/>
      <c r="AA102" s="671">
        <f>EDATE(AA100,6)-1</f>
        <v>45838</v>
      </c>
      <c r="AB102" s="672"/>
      <c r="AC102" s="672"/>
      <c r="AD102" s="672"/>
      <c r="AE102" s="672"/>
      <c r="AF102" s="672"/>
      <c r="AG102" s="672"/>
      <c r="AH102" s="672"/>
      <c r="AI102" s="673"/>
      <c r="AJ102" s="19"/>
      <c r="AK102" s="47" t="s">
        <v>66</v>
      </c>
      <c r="AL102" s="19"/>
      <c r="AM102" s="19"/>
      <c r="AN102" s="19"/>
      <c r="AO102" s="19"/>
      <c r="AP102" s="19"/>
      <c r="AQ102" s="19"/>
      <c r="AR102" s="19"/>
      <c r="AS102" s="19"/>
      <c r="AT102" s="19"/>
      <c r="AU102" s="19"/>
      <c r="AV102" s="19"/>
      <c r="AW102" s="19"/>
      <c r="BD102" s="20"/>
      <c r="BE102" s="19"/>
      <c r="BF102" s="19"/>
      <c r="BG102" s="19"/>
      <c r="BH102" s="19"/>
      <c r="BI102" s="19"/>
      <c r="BJ102" s="19"/>
      <c r="BK102" s="19"/>
      <c r="BL102" s="19"/>
      <c r="BM102" s="19"/>
      <c r="BN102" s="19"/>
      <c r="BO102" s="24"/>
      <c r="BP102" s="19"/>
      <c r="BQ102" s="94"/>
      <c r="BR102" s="94"/>
      <c r="BS102" s="94"/>
      <c r="BT102" s="94"/>
      <c r="BU102" s="94"/>
      <c r="BV102" s="94"/>
      <c r="BW102" s="94"/>
      <c r="BX102" s="94"/>
      <c r="BY102" s="94"/>
      <c r="BZ102" s="19"/>
      <c r="CA102" s="44"/>
      <c r="CB102" s="19"/>
      <c r="CC102" s="94"/>
      <c r="CD102" s="94"/>
      <c r="CE102" s="94"/>
      <c r="CF102" s="94"/>
      <c r="CG102" s="94"/>
      <c r="CH102" s="94"/>
      <c r="CI102" s="94"/>
      <c r="CJ102" s="94"/>
      <c r="CK102" s="94"/>
      <c r="CL102" s="19"/>
      <c r="CM102" s="47"/>
      <c r="CN102" s="19"/>
      <c r="CO102" s="19"/>
      <c r="CP102" s="19"/>
      <c r="CQ102" s="19"/>
      <c r="CR102" s="19"/>
      <c r="CS102" s="19"/>
      <c r="CT102" s="19"/>
      <c r="CU102" s="19"/>
      <c r="CV102" s="19"/>
      <c r="CW102" s="19"/>
      <c r="CX102" s="19"/>
      <c r="CY102" s="19"/>
    </row>
    <row r="103" spans="3:103" ht="3.75" hidden="1" customHeight="1" x14ac:dyDescent="0.3">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BD103" s="20"/>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row>
    <row r="104" spans="3:103" hidden="1" x14ac:dyDescent="0.3">
      <c r="C104" s="19"/>
      <c r="D104" s="19"/>
      <c r="E104" s="19"/>
      <c r="F104" s="19"/>
      <c r="G104" s="19"/>
      <c r="H104" s="19"/>
      <c r="I104" s="19"/>
      <c r="J104" s="19"/>
      <c r="K104" s="19"/>
      <c r="L104" s="19"/>
      <c r="M104" s="48" t="s">
        <v>67</v>
      </c>
      <c r="N104" s="19"/>
      <c r="O104" s="667">
        <f>AC149</f>
        <v>0</v>
      </c>
      <c r="P104" s="668"/>
      <c r="Q104" s="668"/>
      <c r="R104" s="668"/>
      <c r="S104" s="668"/>
      <c r="T104" s="668"/>
      <c r="U104" s="668"/>
      <c r="V104" s="668"/>
      <c r="W104" s="669"/>
      <c r="X104" s="19"/>
      <c r="Y104" s="19"/>
      <c r="Z104" s="19"/>
      <c r="AA104" s="667">
        <f>AC156</f>
        <v>0</v>
      </c>
      <c r="AB104" s="668"/>
      <c r="AC104" s="668"/>
      <c r="AD104" s="668"/>
      <c r="AE104" s="668"/>
      <c r="AF104" s="668"/>
      <c r="AG104" s="668"/>
      <c r="AH104" s="668"/>
      <c r="AI104" s="669"/>
      <c r="AJ104" s="19"/>
      <c r="AK104" s="47" t="s">
        <v>68</v>
      </c>
      <c r="AL104" s="19"/>
      <c r="AM104" s="19"/>
      <c r="AN104" s="19"/>
      <c r="AO104" s="19"/>
      <c r="AP104" s="19"/>
      <c r="AQ104" s="19"/>
      <c r="AR104" s="19"/>
      <c r="AS104" s="19"/>
      <c r="AT104" s="19"/>
      <c r="AU104" s="19"/>
      <c r="AV104" s="19"/>
      <c r="AW104" s="19"/>
      <c r="BD104" s="20"/>
      <c r="BE104" s="19"/>
      <c r="BF104" s="19"/>
      <c r="BG104" s="19"/>
      <c r="BH104" s="19"/>
      <c r="BI104" s="19"/>
      <c r="BJ104" s="19"/>
      <c r="BK104" s="19"/>
      <c r="BL104" s="19"/>
      <c r="BM104" s="19"/>
      <c r="BN104" s="19"/>
      <c r="BO104" s="24"/>
      <c r="BP104" s="19"/>
      <c r="BQ104" s="44"/>
      <c r="BR104" s="44"/>
      <c r="BS104" s="44"/>
      <c r="BT104" s="44"/>
      <c r="BU104" s="44"/>
      <c r="BV104" s="44"/>
      <c r="BW104" s="44"/>
      <c r="BX104" s="44"/>
      <c r="BY104" s="44"/>
      <c r="BZ104" s="19"/>
      <c r="CA104" s="19"/>
      <c r="CB104" s="19"/>
      <c r="CC104" s="44"/>
      <c r="CD104" s="44"/>
      <c r="CE104" s="44"/>
      <c r="CF104" s="44"/>
      <c r="CG104" s="44"/>
      <c r="CH104" s="44"/>
      <c r="CI104" s="44"/>
      <c r="CJ104" s="44"/>
      <c r="CK104" s="44"/>
      <c r="CL104" s="19"/>
      <c r="CM104" s="47"/>
      <c r="CN104" s="19"/>
      <c r="CO104" s="19"/>
      <c r="CP104" s="19"/>
      <c r="CQ104" s="19"/>
      <c r="CR104" s="19"/>
      <c r="CS104" s="19"/>
      <c r="CT104" s="19"/>
      <c r="CU104" s="19"/>
      <c r="CV104" s="19"/>
      <c r="CW104" s="19"/>
      <c r="CX104" s="19"/>
      <c r="CY104" s="19"/>
    </row>
    <row r="105" spans="3:103" ht="3.75" hidden="1" customHeight="1" x14ac:dyDescent="0.3">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BD105" s="20"/>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row>
    <row r="106" spans="3:103" hidden="1" x14ac:dyDescent="0.3">
      <c r="C106" s="19"/>
      <c r="D106" s="19"/>
      <c r="E106" s="19"/>
      <c r="F106" s="19"/>
      <c r="G106" s="19"/>
      <c r="H106" s="19"/>
      <c r="I106" s="19"/>
      <c r="J106" s="19"/>
      <c r="K106" s="19"/>
      <c r="L106" s="19"/>
      <c r="M106" s="19"/>
      <c r="N106" s="19"/>
      <c r="O106" s="670" t="str">
        <f>CONCATENATE("Univ FY",$AS$42)</f>
        <v>Univ FY2026</v>
      </c>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19"/>
      <c r="AK106" s="19"/>
      <c r="AL106" s="19"/>
      <c r="AM106" s="19"/>
      <c r="AN106" s="19"/>
      <c r="AO106" s="19"/>
      <c r="AP106" s="19"/>
      <c r="AQ106" s="19"/>
      <c r="AR106" s="19"/>
      <c r="AS106" s="19"/>
      <c r="AT106" s="19"/>
      <c r="AU106" s="19"/>
      <c r="AV106" s="19"/>
      <c r="AW106" s="19"/>
      <c r="BD106" s="20"/>
      <c r="BE106" s="19"/>
      <c r="BF106" s="19"/>
      <c r="BG106" s="19"/>
      <c r="BH106" s="19"/>
      <c r="BI106" s="19"/>
      <c r="BJ106" s="19"/>
      <c r="BK106" s="19"/>
      <c r="BL106" s="19"/>
      <c r="BM106" s="19"/>
      <c r="BN106" s="19"/>
      <c r="BO106" s="19"/>
      <c r="BP106" s="19"/>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19"/>
      <c r="CM106" s="19"/>
      <c r="CN106" s="19"/>
      <c r="CO106" s="19"/>
      <c r="CP106" s="19"/>
      <c r="CQ106" s="19"/>
      <c r="CR106" s="19"/>
      <c r="CS106" s="19"/>
      <c r="CT106" s="19"/>
      <c r="CU106" s="19"/>
      <c r="CV106" s="19"/>
      <c r="CW106" s="19"/>
      <c r="CX106" s="19"/>
      <c r="CY106" s="19"/>
    </row>
    <row r="107" spans="3:103" ht="2.25" hidden="1" customHeight="1" x14ac:dyDescent="0.3">
      <c r="C107" s="19"/>
      <c r="D107" s="19"/>
      <c r="E107" s="19"/>
      <c r="F107" s="19"/>
      <c r="G107" s="19"/>
      <c r="H107" s="19"/>
      <c r="I107" s="19"/>
      <c r="J107" s="19"/>
      <c r="K107" s="19"/>
      <c r="L107" s="19"/>
      <c r="M107" s="19"/>
      <c r="N107" s="19"/>
      <c r="O107" s="44"/>
      <c r="P107" s="44"/>
      <c r="Q107" s="44"/>
      <c r="R107" s="44"/>
      <c r="S107" s="44"/>
      <c r="T107" s="44"/>
      <c r="U107" s="44"/>
      <c r="V107" s="44"/>
      <c r="W107" s="44"/>
      <c r="X107" s="44"/>
      <c r="Y107" s="44"/>
      <c r="Z107" s="44"/>
      <c r="AA107" s="44"/>
      <c r="AB107" s="44"/>
      <c r="AC107" s="44"/>
      <c r="AD107" s="44"/>
      <c r="AE107" s="44"/>
      <c r="AF107" s="44"/>
      <c r="AG107" s="44"/>
      <c r="AH107" s="44"/>
      <c r="AI107" s="44"/>
      <c r="AJ107" s="19"/>
      <c r="AK107" s="19"/>
      <c r="AL107" s="19"/>
      <c r="AM107" s="19"/>
      <c r="AN107" s="19"/>
      <c r="AO107" s="19"/>
      <c r="AP107" s="19"/>
      <c r="AQ107" s="19"/>
      <c r="AR107" s="19"/>
      <c r="AS107" s="19"/>
      <c r="AT107" s="19"/>
      <c r="AU107" s="19"/>
      <c r="AV107" s="19"/>
      <c r="AW107" s="19"/>
      <c r="BD107" s="20"/>
      <c r="BE107" s="19"/>
      <c r="BF107" s="19"/>
      <c r="BG107" s="19"/>
      <c r="BH107" s="19"/>
      <c r="BI107" s="19"/>
      <c r="BJ107" s="19"/>
      <c r="BK107" s="19"/>
      <c r="BL107" s="19"/>
      <c r="BM107" s="19"/>
      <c r="BN107" s="19"/>
      <c r="BO107" s="19"/>
      <c r="BP107" s="19"/>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19"/>
      <c r="CM107" s="19"/>
      <c r="CN107" s="19"/>
      <c r="CO107" s="19"/>
      <c r="CP107" s="19"/>
      <c r="CQ107" s="19"/>
      <c r="CR107" s="19"/>
      <c r="CS107" s="19"/>
      <c r="CT107" s="19"/>
      <c r="CU107" s="19"/>
      <c r="CV107" s="19"/>
      <c r="CW107" s="19"/>
      <c r="CX107" s="19"/>
      <c r="CY107" s="19"/>
    </row>
    <row r="108" spans="3:103" hidden="1" x14ac:dyDescent="0.3">
      <c r="C108" s="19"/>
      <c r="D108" s="19"/>
      <c r="E108" s="19"/>
      <c r="F108" s="19"/>
      <c r="G108" s="19"/>
      <c r="H108" s="19"/>
      <c r="I108" s="19"/>
      <c r="J108" s="19"/>
      <c r="K108" s="19"/>
      <c r="L108" s="19"/>
      <c r="M108" s="24" t="s">
        <v>69</v>
      </c>
      <c r="N108" s="19"/>
      <c r="O108" s="671">
        <f>AA102+1</f>
        <v>45839</v>
      </c>
      <c r="P108" s="672"/>
      <c r="Q108" s="672"/>
      <c r="R108" s="672"/>
      <c r="S108" s="672"/>
      <c r="T108" s="672"/>
      <c r="U108" s="672"/>
      <c r="V108" s="672"/>
      <c r="W108" s="673"/>
      <c r="X108" s="19"/>
      <c r="Y108" s="19"/>
      <c r="Z108" s="44"/>
      <c r="AA108" s="44"/>
      <c r="AB108" s="44"/>
      <c r="AC108" s="44"/>
      <c r="AD108" s="44"/>
      <c r="AE108" s="44"/>
      <c r="AF108" s="44"/>
      <c r="AG108" s="44"/>
      <c r="AH108" s="44"/>
      <c r="AI108" s="44"/>
      <c r="AJ108" s="19"/>
      <c r="AK108" s="19"/>
      <c r="AL108" s="19"/>
      <c r="AM108" s="19"/>
      <c r="AN108" s="19"/>
      <c r="AO108" s="19"/>
      <c r="AP108" s="19"/>
      <c r="AQ108" s="19"/>
      <c r="AR108" s="19"/>
      <c r="AS108" s="19"/>
      <c r="AT108" s="19"/>
      <c r="AU108" s="19"/>
      <c r="AV108" s="19"/>
      <c r="AW108" s="19"/>
      <c r="BD108" s="20"/>
      <c r="BE108" s="19"/>
      <c r="BF108" s="19"/>
      <c r="BG108" s="19"/>
      <c r="BH108" s="19"/>
      <c r="BI108" s="19"/>
      <c r="BJ108" s="19"/>
      <c r="BK108" s="19"/>
      <c r="BL108" s="19"/>
      <c r="BM108" s="19"/>
      <c r="BN108" s="19"/>
      <c r="BO108" s="24"/>
      <c r="BP108" s="19"/>
      <c r="BQ108" s="94"/>
      <c r="BR108" s="94"/>
      <c r="BS108" s="94"/>
      <c r="BT108" s="94"/>
      <c r="BU108" s="94"/>
      <c r="BV108" s="94"/>
      <c r="BW108" s="94"/>
      <c r="BX108" s="94"/>
      <c r="BY108" s="94"/>
      <c r="BZ108" s="19"/>
      <c r="CA108" s="19"/>
      <c r="CB108" s="44"/>
      <c r="CC108" s="44"/>
      <c r="CD108" s="44"/>
      <c r="CE108" s="44"/>
      <c r="CF108" s="44"/>
      <c r="CG108" s="44"/>
      <c r="CH108" s="44"/>
      <c r="CI108" s="44"/>
      <c r="CJ108" s="44"/>
      <c r="CK108" s="44"/>
      <c r="CL108" s="19"/>
      <c r="CM108" s="19"/>
      <c r="CN108" s="19"/>
      <c r="CO108" s="19"/>
      <c r="CP108" s="19"/>
      <c r="CQ108" s="19"/>
      <c r="CR108" s="19"/>
      <c r="CS108" s="19"/>
      <c r="CT108" s="19"/>
      <c r="CU108" s="19"/>
      <c r="CV108" s="19"/>
      <c r="CW108" s="19"/>
      <c r="CX108" s="19"/>
      <c r="CY108" s="19"/>
    </row>
    <row r="109" spans="3:103" ht="2.25" hidden="1" customHeight="1" x14ac:dyDescent="0.3">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44"/>
      <c r="AA109" s="44"/>
      <c r="AB109" s="44"/>
      <c r="AC109" s="44"/>
      <c r="AD109" s="44"/>
      <c r="AE109" s="44"/>
      <c r="AF109" s="44"/>
      <c r="AG109" s="44"/>
      <c r="AH109" s="44"/>
      <c r="AI109" s="44"/>
      <c r="AJ109" s="19"/>
      <c r="AK109" s="19"/>
      <c r="AL109" s="19"/>
      <c r="AM109" s="19"/>
      <c r="AN109" s="19"/>
      <c r="AO109" s="19"/>
      <c r="AP109" s="19"/>
      <c r="AQ109" s="19"/>
      <c r="AR109" s="19"/>
      <c r="AS109" s="19"/>
      <c r="AT109" s="19"/>
      <c r="AU109" s="19"/>
      <c r="AV109" s="19"/>
      <c r="AW109" s="19"/>
      <c r="BD109" s="20"/>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44"/>
      <c r="CC109" s="44"/>
      <c r="CD109" s="44"/>
      <c r="CE109" s="44"/>
      <c r="CF109" s="44"/>
      <c r="CG109" s="44"/>
      <c r="CH109" s="44"/>
      <c r="CI109" s="44"/>
      <c r="CJ109" s="44"/>
      <c r="CK109" s="44"/>
      <c r="CL109" s="19"/>
      <c r="CM109" s="19"/>
      <c r="CN109" s="19"/>
      <c r="CO109" s="19"/>
      <c r="CP109" s="19"/>
      <c r="CQ109" s="19"/>
      <c r="CR109" s="19"/>
      <c r="CS109" s="19"/>
      <c r="CT109" s="19"/>
      <c r="CU109" s="19"/>
      <c r="CV109" s="19"/>
      <c r="CW109" s="19"/>
      <c r="CX109" s="19"/>
      <c r="CY109" s="19"/>
    </row>
    <row r="110" spans="3:103" hidden="1" x14ac:dyDescent="0.3">
      <c r="C110" s="19"/>
      <c r="D110" s="19"/>
      <c r="E110" s="19"/>
      <c r="F110" s="19"/>
      <c r="G110" s="19"/>
      <c r="H110" s="19"/>
      <c r="I110" s="19"/>
      <c r="J110" s="19"/>
      <c r="K110" s="19"/>
      <c r="L110" s="19"/>
      <c r="M110" s="24" t="s">
        <v>70</v>
      </c>
      <c r="N110" s="19"/>
      <c r="O110" s="671">
        <f>O108+183</f>
        <v>46022</v>
      </c>
      <c r="P110" s="672"/>
      <c r="Q110" s="672"/>
      <c r="R110" s="672"/>
      <c r="S110" s="672"/>
      <c r="T110" s="672"/>
      <c r="U110" s="672"/>
      <c r="V110" s="672"/>
      <c r="W110" s="673"/>
      <c r="X110" s="19"/>
      <c r="Y110" s="43">
        <f>O112</f>
        <v>0</v>
      </c>
      <c r="Z110" s="44"/>
      <c r="AA110" s="44"/>
      <c r="AB110" s="44"/>
      <c r="AC110" s="44"/>
      <c r="AD110" s="44"/>
      <c r="AE110" s="44"/>
      <c r="AF110" s="44"/>
      <c r="AG110" s="44"/>
      <c r="AH110" s="44"/>
      <c r="AI110" s="44"/>
      <c r="AJ110" s="19"/>
      <c r="AK110" s="19"/>
      <c r="AL110" s="19"/>
      <c r="AM110" s="19"/>
      <c r="AN110" s="19"/>
      <c r="AO110" s="19"/>
      <c r="AP110" s="19"/>
      <c r="AQ110" s="19"/>
      <c r="AR110" s="19"/>
      <c r="AS110" s="19"/>
      <c r="AT110" s="19"/>
      <c r="AU110" s="19"/>
      <c r="AV110" s="19"/>
      <c r="AW110" s="19"/>
      <c r="BD110" s="20"/>
      <c r="BE110" s="19"/>
      <c r="BF110" s="19"/>
      <c r="BG110" s="19"/>
      <c r="BH110" s="19"/>
      <c r="BI110" s="19"/>
      <c r="BJ110" s="19"/>
      <c r="BK110" s="19"/>
      <c r="BL110" s="19"/>
      <c r="BM110" s="19"/>
      <c r="BN110" s="19"/>
      <c r="BO110" s="24"/>
      <c r="BP110" s="19"/>
      <c r="BQ110" s="94"/>
      <c r="BR110" s="94"/>
      <c r="BS110" s="94"/>
      <c r="BT110" s="94"/>
      <c r="BU110" s="94"/>
      <c r="BV110" s="94"/>
      <c r="BW110" s="94"/>
      <c r="BX110" s="94"/>
      <c r="BY110" s="94"/>
      <c r="BZ110" s="19"/>
      <c r="CA110" s="44"/>
      <c r="CB110" s="44"/>
      <c r="CC110" s="44"/>
      <c r="CD110" s="44"/>
      <c r="CE110" s="44"/>
      <c r="CF110" s="44"/>
      <c r="CG110" s="44"/>
      <c r="CH110" s="44"/>
      <c r="CI110" s="44"/>
      <c r="CJ110" s="44"/>
      <c r="CK110" s="44"/>
      <c r="CL110" s="19"/>
      <c r="CM110" s="19"/>
      <c r="CN110" s="19"/>
      <c r="CO110" s="19"/>
      <c r="CP110" s="19"/>
      <c r="CQ110" s="19"/>
      <c r="CR110" s="19"/>
      <c r="CS110" s="19"/>
      <c r="CT110" s="19"/>
      <c r="CU110" s="19"/>
      <c r="CV110" s="19"/>
      <c r="CW110" s="19"/>
      <c r="CX110" s="19"/>
      <c r="CY110" s="19"/>
    </row>
    <row r="111" spans="3:103" ht="2.25" hidden="1" customHeight="1" x14ac:dyDescent="0.3">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44"/>
      <c r="AA111" s="44"/>
      <c r="AB111" s="44"/>
      <c r="AC111" s="44"/>
      <c r="AD111" s="44"/>
      <c r="AE111" s="44"/>
      <c r="AF111" s="44"/>
      <c r="AG111" s="44"/>
      <c r="AH111" s="44"/>
      <c r="AI111" s="44"/>
      <c r="AJ111" s="19"/>
      <c r="AK111" s="19"/>
      <c r="AL111" s="19"/>
      <c r="AM111" s="19"/>
      <c r="AN111" s="19"/>
      <c r="AO111" s="19"/>
      <c r="AP111" s="19"/>
      <c r="AQ111" s="19"/>
      <c r="AR111" s="19"/>
      <c r="AS111" s="19"/>
      <c r="AT111" s="19"/>
      <c r="AU111" s="19"/>
      <c r="AV111" s="19"/>
      <c r="AW111" s="19"/>
      <c r="BD111" s="20"/>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44"/>
      <c r="CC111" s="44"/>
      <c r="CD111" s="44"/>
      <c r="CE111" s="44"/>
      <c r="CF111" s="44"/>
      <c r="CG111" s="44"/>
      <c r="CH111" s="44"/>
      <c r="CI111" s="44"/>
      <c r="CJ111" s="44"/>
      <c r="CK111" s="44"/>
      <c r="CL111" s="19"/>
      <c r="CM111" s="19"/>
      <c r="CN111" s="19"/>
      <c r="CO111" s="19"/>
      <c r="CP111" s="19"/>
      <c r="CQ111" s="19"/>
      <c r="CR111" s="19"/>
      <c r="CS111" s="19"/>
      <c r="CT111" s="19"/>
      <c r="CU111" s="19"/>
      <c r="CV111" s="19"/>
      <c r="CW111" s="19"/>
      <c r="CX111" s="19"/>
      <c r="CY111" s="19"/>
    </row>
    <row r="112" spans="3:103" hidden="1" x14ac:dyDescent="0.3">
      <c r="C112" s="19"/>
      <c r="D112" s="19"/>
      <c r="E112" s="19"/>
      <c r="F112" s="19"/>
      <c r="G112" s="19"/>
      <c r="H112" s="19"/>
      <c r="I112" s="19"/>
      <c r="J112" s="19"/>
      <c r="K112" s="19"/>
      <c r="L112" s="19"/>
      <c r="M112" s="48" t="s">
        <v>71</v>
      </c>
      <c r="N112" s="19"/>
      <c r="O112" s="667">
        <f>AU157</f>
        <v>0</v>
      </c>
      <c r="P112" s="668"/>
      <c r="Q112" s="668"/>
      <c r="R112" s="668"/>
      <c r="S112" s="668"/>
      <c r="T112" s="668"/>
      <c r="U112" s="668"/>
      <c r="V112" s="668"/>
      <c r="W112" s="669"/>
      <c r="X112" s="19"/>
      <c r="Y112" s="19"/>
      <c r="Z112" s="44"/>
      <c r="AA112" s="44"/>
      <c r="AB112" s="44"/>
      <c r="AC112" s="44"/>
      <c r="AD112" s="44"/>
      <c r="AE112" s="44"/>
      <c r="AF112" s="44"/>
      <c r="AG112" s="44"/>
      <c r="AH112" s="44"/>
      <c r="AI112" s="44"/>
      <c r="AJ112" s="19"/>
      <c r="AK112" s="19"/>
      <c r="AL112" s="19"/>
      <c r="AM112" s="19"/>
      <c r="AN112" s="19"/>
      <c r="AO112" s="19"/>
      <c r="AP112" s="19"/>
      <c r="AQ112" s="19"/>
      <c r="AR112" s="19"/>
      <c r="AS112" s="19"/>
      <c r="AT112" s="19"/>
      <c r="AU112" s="19"/>
      <c r="AV112" s="19"/>
      <c r="AW112" s="19"/>
      <c r="BD112" s="20"/>
      <c r="BE112" s="19"/>
      <c r="BF112" s="19"/>
      <c r="BG112" s="19"/>
      <c r="BH112" s="19"/>
      <c r="BI112" s="19"/>
      <c r="BJ112" s="19"/>
      <c r="BK112" s="19"/>
      <c r="BL112" s="19"/>
      <c r="BM112" s="19"/>
      <c r="BN112" s="19"/>
      <c r="BO112" s="24"/>
      <c r="BP112" s="19"/>
      <c r="BQ112" s="44"/>
      <c r="BR112" s="44"/>
      <c r="BS112" s="44"/>
      <c r="BT112" s="44"/>
      <c r="BU112" s="44"/>
      <c r="BV112" s="44"/>
      <c r="BW112" s="44"/>
      <c r="BX112" s="44"/>
      <c r="BY112" s="44"/>
      <c r="BZ112" s="19"/>
      <c r="CA112" s="19"/>
      <c r="CB112" s="44"/>
      <c r="CC112" s="44"/>
      <c r="CD112" s="44"/>
      <c r="CE112" s="44"/>
      <c r="CF112" s="44"/>
      <c r="CG112" s="44"/>
      <c r="CH112" s="44"/>
      <c r="CI112" s="44"/>
      <c r="CJ112" s="44"/>
      <c r="CK112" s="44"/>
      <c r="CL112" s="19"/>
      <c r="CM112" s="19"/>
      <c r="CN112" s="19"/>
      <c r="CO112" s="19"/>
      <c r="CP112" s="19"/>
      <c r="CQ112" s="19"/>
      <c r="CR112" s="19"/>
      <c r="CS112" s="19"/>
      <c r="CT112" s="19"/>
      <c r="CU112" s="19"/>
      <c r="CV112" s="19"/>
      <c r="CW112" s="19"/>
      <c r="CX112" s="19"/>
      <c r="CY112" s="19"/>
    </row>
    <row r="113" spans="2:107" ht="2.25" hidden="1" customHeight="1" x14ac:dyDescent="0.3">
      <c r="C113" s="19"/>
      <c r="D113" s="19"/>
      <c r="E113" s="19"/>
      <c r="F113" s="19"/>
      <c r="G113" s="19"/>
      <c r="H113" s="19"/>
      <c r="I113" s="19"/>
      <c r="J113" s="19"/>
      <c r="K113" s="19"/>
      <c r="L113" s="19"/>
      <c r="M113" s="19"/>
      <c r="N113" s="19"/>
      <c r="O113" s="44"/>
      <c r="P113" s="44"/>
      <c r="Q113" s="44"/>
      <c r="R113" s="44"/>
      <c r="S113" s="44"/>
      <c r="T113" s="44"/>
      <c r="U113" s="44"/>
      <c r="V113" s="44"/>
      <c r="W113" s="44"/>
      <c r="X113" s="44"/>
      <c r="Y113" s="44"/>
      <c r="Z113" s="44"/>
      <c r="AA113" s="44"/>
      <c r="AB113" s="44"/>
      <c r="AC113" s="44"/>
      <c r="AD113" s="44"/>
      <c r="AE113" s="44"/>
      <c r="AF113" s="44"/>
      <c r="AG113" s="44"/>
      <c r="AH113" s="44"/>
      <c r="AI113" s="44"/>
      <c r="AJ113" s="19"/>
      <c r="AK113" s="19"/>
      <c r="AL113" s="19"/>
      <c r="AM113" s="19"/>
      <c r="AN113" s="19"/>
      <c r="AO113" s="19"/>
      <c r="AP113" s="19"/>
      <c r="AQ113" s="19"/>
      <c r="AR113" s="19"/>
      <c r="AS113" s="19"/>
      <c r="AT113" s="19"/>
      <c r="AU113" s="19"/>
      <c r="AV113" s="19"/>
      <c r="AW113" s="19"/>
      <c r="BD113" s="20"/>
      <c r="BE113" s="19"/>
      <c r="BF113" s="19"/>
      <c r="BG113" s="19"/>
      <c r="BH113" s="19"/>
      <c r="BI113" s="19"/>
      <c r="BJ113" s="19"/>
      <c r="BK113" s="19"/>
      <c r="BL113" s="19"/>
      <c r="BM113" s="19"/>
      <c r="BN113" s="19"/>
      <c r="BO113" s="19"/>
      <c r="BP113" s="19"/>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19"/>
      <c r="CM113" s="19"/>
      <c r="CN113" s="19"/>
      <c r="CO113" s="19"/>
      <c r="CP113" s="19"/>
      <c r="CQ113" s="19"/>
      <c r="CR113" s="19"/>
      <c r="CS113" s="19"/>
      <c r="CT113" s="19"/>
      <c r="CU113" s="19"/>
      <c r="CV113" s="19"/>
      <c r="CW113" s="19"/>
      <c r="CX113" s="19"/>
      <c r="CY113" s="19"/>
    </row>
    <row r="114" spans="2:107" hidden="1" x14ac:dyDescent="0.3">
      <c r="C114" s="19"/>
      <c r="D114" s="19"/>
      <c r="E114" s="19"/>
      <c r="F114" s="19"/>
      <c r="G114" s="19"/>
      <c r="H114" s="19"/>
      <c r="I114" s="19"/>
      <c r="J114" s="19"/>
      <c r="K114" s="19"/>
      <c r="L114" s="19"/>
      <c r="M114" s="19"/>
      <c r="N114" s="19"/>
      <c r="O114" s="44"/>
      <c r="P114" s="44"/>
      <c r="Q114" s="44"/>
      <c r="R114" s="44"/>
      <c r="S114" s="44"/>
      <c r="T114" s="44"/>
      <c r="U114" s="44"/>
      <c r="V114" s="44"/>
      <c r="W114" s="44"/>
      <c r="X114" s="44"/>
      <c r="Y114" s="44"/>
      <c r="Z114" s="44"/>
      <c r="AA114" s="44"/>
      <c r="AB114" s="44"/>
      <c r="AC114" s="44"/>
      <c r="AD114" s="44"/>
      <c r="AE114" s="44"/>
      <c r="AF114" s="44"/>
      <c r="AG114" s="44"/>
      <c r="AH114" s="44"/>
      <c r="AI114" s="44"/>
      <c r="AJ114" s="19"/>
      <c r="AK114" s="19"/>
      <c r="AL114" s="19"/>
      <c r="AM114" s="19"/>
      <c r="AN114" s="19"/>
      <c r="AO114" s="19"/>
      <c r="AP114" s="19"/>
      <c r="AQ114" s="19"/>
      <c r="AR114" s="19"/>
      <c r="AS114" s="19"/>
      <c r="AT114" s="19"/>
      <c r="AU114" s="19"/>
      <c r="AV114" s="19"/>
      <c r="AW114" s="19"/>
      <c r="BD114" s="20"/>
      <c r="BE114" s="19"/>
      <c r="BF114" s="19"/>
      <c r="BG114" s="19"/>
      <c r="BH114" s="19"/>
      <c r="BI114" s="19"/>
      <c r="BJ114" s="19"/>
      <c r="BK114" s="19"/>
      <c r="BL114" s="19"/>
      <c r="BM114" s="19"/>
      <c r="BN114" s="19"/>
      <c r="BO114" s="19"/>
      <c r="BP114" s="19"/>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19"/>
      <c r="CM114" s="19"/>
      <c r="CN114" s="19"/>
      <c r="CO114" s="19"/>
      <c r="CP114" s="19"/>
      <c r="CQ114" s="19"/>
      <c r="CR114" s="19"/>
      <c r="CS114" s="19"/>
      <c r="CT114" s="19"/>
      <c r="CU114" s="19"/>
      <c r="CV114" s="19"/>
      <c r="CW114" s="19"/>
      <c r="CX114" s="19"/>
      <c r="CY114" s="19"/>
    </row>
    <row r="115" spans="2:107" ht="3" hidden="1" customHeight="1" x14ac:dyDescent="0.3">
      <c r="B115" s="20"/>
      <c r="C115" s="20"/>
      <c r="D115" s="20"/>
      <c r="E115" s="20"/>
      <c r="F115" s="20"/>
      <c r="G115" s="20"/>
      <c r="H115" s="20"/>
      <c r="I115" s="20"/>
      <c r="J115" s="20"/>
      <c r="K115" s="20"/>
      <c r="L115" s="20"/>
      <c r="M115" s="20"/>
      <c r="N115" s="20"/>
      <c r="O115" s="49"/>
      <c r="P115" s="49"/>
      <c r="Q115" s="49"/>
      <c r="R115" s="49"/>
      <c r="S115" s="49"/>
      <c r="T115" s="49"/>
      <c r="U115" s="49"/>
      <c r="V115" s="49"/>
      <c r="W115" s="49"/>
      <c r="X115" s="49"/>
      <c r="Y115" s="49"/>
      <c r="Z115" s="49"/>
      <c r="AA115" s="49"/>
      <c r="AB115" s="49"/>
      <c r="AC115" s="49"/>
      <c r="AD115" s="49"/>
      <c r="AE115" s="49"/>
      <c r="AF115" s="49"/>
      <c r="AG115" s="49"/>
      <c r="AH115" s="49"/>
      <c r="AI115" s="49"/>
      <c r="AJ115" s="20"/>
      <c r="AK115" s="20"/>
      <c r="AL115" s="20"/>
      <c r="AM115" s="20"/>
      <c r="AN115" s="20"/>
      <c r="AO115" s="20"/>
      <c r="AP115" s="20"/>
      <c r="AQ115" s="20"/>
      <c r="AR115" s="20"/>
      <c r="AS115" s="20"/>
      <c r="AT115" s="20"/>
      <c r="AU115" s="20"/>
      <c r="AV115" s="20"/>
      <c r="AW115" s="20"/>
      <c r="AX115" s="20"/>
      <c r="AY115" s="20"/>
      <c r="AZ115" s="20"/>
      <c r="BA115" s="20"/>
      <c r="BB115" s="20"/>
      <c r="BC115" s="20"/>
      <c r="BD115" s="20"/>
      <c r="BQ115" s="50"/>
      <c r="BR115" s="50"/>
      <c r="BS115" s="50"/>
      <c r="BT115" s="50"/>
      <c r="BU115" s="50"/>
      <c r="BV115" s="50"/>
      <c r="BW115" s="50"/>
      <c r="BX115" s="50"/>
      <c r="BY115" s="50"/>
      <c r="BZ115" s="50"/>
      <c r="CA115" s="50"/>
      <c r="CB115" s="50"/>
      <c r="CC115" s="50"/>
      <c r="CD115" s="50"/>
      <c r="CE115" s="50"/>
      <c r="CF115" s="50"/>
      <c r="CG115" s="50"/>
      <c r="CH115" s="50"/>
      <c r="CI115" s="50"/>
      <c r="CJ115" s="50"/>
      <c r="CK115" s="50"/>
    </row>
    <row r="116" spans="2:107" hidden="1" x14ac:dyDescent="0.3">
      <c r="AV116" s="50"/>
      <c r="AW116" s="50"/>
      <c r="BD116" s="20"/>
      <c r="CX116" s="50"/>
      <c r="CY116" s="50"/>
    </row>
    <row r="117" spans="2:107" hidden="1" x14ac:dyDescent="0.3">
      <c r="C117" s="666">
        <f>I7</f>
        <v>0</v>
      </c>
      <c r="D117" s="666"/>
      <c r="E117" s="666"/>
      <c r="F117" s="666"/>
      <c r="G117" s="666"/>
      <c r="H117" s="666"/>
      <c r="I117" s="666"/>
      <c r="J117" s="19"/>
      <c r="K117" s="19" t="s">
        <v>72</v>
      </c>
      <c r="L117" s="19"/>
      <c r="M117" s="19"/>
      <c r="N117" s="19"/>
      <c r="O117" s="19"/>
      <c r="P117" s="19"/>
      <c r="Q117" s="19"/>
      <c r="R117" s="19"/>
      <c r="S117" s="19"/>
      <c r="T117" s="19"/>
      <c r="U117" s="666">
        <f>I9</f>
        <v>0</v>
      </c>
      <c r="V117" s="666"/>
      <c r="W117" s="666"/>
      <c r="X117" s="666"/>
      <c r="Y117" s="666"/>
      <c r="Z117" s="666"/>
      <c r="AA117" s="666"/>
      <c r="AB117" s="19"/>
      <c r="AC117" s="19" t="s">
        <v>73</v>
      </c>
      <c r="AD117" s="19"/>
      <c r="AE117" s="19"/>
      <c r="AF117" s="19"/>
      <c r="AG117" s="19"/>
      <c r="AH117" s="19"/>
      <c r="AI117" s="19"/>
      <c r="AJ117" s="19"/>
      <c r="AK117" s="19"/>
      <c r="AL117" s="19"/>
      <c r="AM117" s="19"/>
      <c r="AN117" s="19"/>
      <c r="AO117" s="19"/>
      <c r="AP117" s="19"/>
      <c r="AQ117" s="19"/>
      <c r="AR117" s="19"/>
      <c r="AS117" s="19"/>
      <c r="AT117" s="19"/>
      <c r="AU117" s="19"/>
      <c r="AV117" s="46"/>
      <c r="AW117" s="19"/>
      <c r="AX117" s="19"/>
      <c r="AY117" s="19"/>
      <c r="AZ117" s="19"/>
      <c r="BA117" s="19"/>
      <c r="BD117" s="20"/>
      <c r="BE117" s="51"/>
      <c r="BF117" s="51"/>
      <c r="BG117" s="51"/>
      <c r="BH117" s="51"/>
      <c r="BI117" s="51"/>
      <c r="BJ117" s="51"/>
      <c r="BK117" s="51"/>
      <c r="BL117" s="19"/>
      <c r="BM117" s="19"/>
      <c r="BN117" s="19"/>
      <c r="BO117" s="19"/>
      <c r="BP117" s="19"/>
      <c r="BQ117" s="19"/>
      <c r="BR117" s="19"/>
      <c r="BS117" s="19"/>
      <c r="BT117" s="19"/>
      <c r="BU117" s="19"/>
      <c r="BV117" s="19"/>
      <c r="BW117" s="51"/>
      <c r="BX117" s="51"/>
      <c r="BY117" s="51"/>
      <c r="BZ117" s="51"/>
      <c r="CA117" s="51"/>
      <c r="CB117" s="51"/>
      <c r="CC117" s="51"/>
      <c r="CD117" s="19"/>
      <c r="CE117" s="19"/>
      <c r="CF117" s="19"/>
      <c r="CG117" s="19"/>
      <c r="CH117" s="19"/>
      <c r="CI117" s="19"/>
      <c r="CJ117" s="19"/>
      <c r="CK117" s="19"/>
      <c r="CL117" s="19"/>
      <c r="CM117" s="19"/>
      <c r="CN117" s="19"/>
      <c r="CO117" s="19"/>
      <c r="CP117" s="19"/>
      <c r="CQ117" s="19"/>
      <c r="CR117" s="19"/>
      <c r="CS117" s="19"/>
      <c r="CT117" s="19"/>
      <c r="CU117" s="19"/>
      <c r="CV117" s="19"/>
      <c r="CW117" s="19"/>
      <c r="CX117" s="46"/>
      <c r="CY117" s="19"/>
      <c r="CZ117" s="19"/>
      <c r="DA117" s="19"/>
      <c r="DB117" s="19"/>
      <c r="DC117" s="19"/>
    </row>
    <row r="118" spans="2:107" hidden="1" x14ac:dyDescent="0.3">
      <c r="C118" s="51"/>
      <c r="D118" s="51"/>
      <c r="E118" s="51"/>
      <c r="F118" s="51"/>
      <c r="G118" s="51"/>
      <c r="H118" s="51"/>
      <c r="I118" s="51"/>
      <c r="J118" s="19"/>
      <c r="K118" s="19"/>
      <c r="L118" s="19"/>
      <c r="M118" s="19"/>
      <c r="N118" s="19"/>
      <c r="O118" s="19"/>
      <c r="P118" s="19"/>
      <c r="Q118" s="19"/>
      <c r="R118" s="19"/>
      <c r="S118" s="19"/>
      <c r="T118" s="19"/>
      <c r="U118" s="51"/>
      <c r="V118" s="51"/>
      <c r="W118" s="51"/>
      <c r="X118" s="51"/>
      <c r="Y118" s="51"/>
      <c r="Z118" s="51"/>
      <c r="AA118" s="51"/>
      <c r="AB118" s="19"/>
      <c r="AC118" s="19"/>
      <c r="AD118" s="19"/>
      <c r="AE118" s="19"/>
      <c r="AF118" s="19"/>
      <c r="AG118" s="19"/>
      <c r="AH118" s="19"/>
      <c r="AI118" s="19"/>
      <c r="AJ118" s="19"/>
      <c r="AK118" s="19"/>
      <c r="AL118" s="19"/>
      <c r="AM118" s="19"/>
      <c r="AN118" s="19"/>
      <c r="AO118" s="19"/>
      <c r="AP118" s="19"/>
      <c r="AQ118" s="19"/>
      <c r="AR118" s="19"/>
      <c r="AS118" s="19"/>
      <c r="AT118" s="19"/>
      <c r="AU118" s="19"/>
      <c r="AV118" s="46"/>
      <c r="AW118" s="19"/>
      <c r="AX118" s="19"/>
      <c r="AY118" s="19"/>
      <c r="AZ118" s="19"/>
      <c r="BA118" s="19"/>
      <c r="BD118" s="20"/>
      <c r="BE118" s="51"/>
      <c r="BF118" s="51"/>
      <c r="BG118" s="51"/>
      <c r="BH118" s="51"/>
      <c r="BI118" s="51"/>
      <c r="BJ118" s="51"/>
      <c r="BK118" s="51"/>
      <c r="BL118" s="19"/>
      <c r="BM118" s="19"/>
      <c r="BN118" s="19"/>
      <c r="BO118" s="19"/>
      <c r="BP118" s="19"/>
      <c r="BQ118" s="19"/>
      <c r="BR118" s="19"/>
      <c r="BS118" s="19"/>
      <c r="BT118" s="19"/>
      <c r="BU118" s="19"/>
      <c r="BV118" s="19"/>
      <c r="BW118" s="51"/>
      <c r="BX118" s="51"/>
      <c r="BY118" s="51"/>
      <c r="BZ118" s="51"/>
      <c r="CA118" s="51"/>
      <c r="CB118" s="51"/>
      <c r="CC118" s="51"/>
      <c r="CD118" s="19"/>
      <c r="CE118" s="19"/>
      <c r="CF118" s="19"/>
      <c r="CG118" s="19"/>
      <c r="CH118" s="19"/>
      <c r="CI118" s="19"/>
      <c r="CJ118" s="19"/>
      <c r="CK118" s="19"/>
      <c r="CL118" s="19"/>
      <c r="CM118" s="19"/>
      <c r="CN118" s="19"/>
      <c r="CO118" s="19"/>
      <c r="CP118" s="19"/>
      <c r="CQ118" s="19"/>
      <c r="CR118" s="19"/>
      <c r="CS118" s="19"/>
      <c r="CT118" s="19"/>
      <c r="CU118" s="19"/>
      <c r="CV118" s="19"/>
      <c r="CW118" s="19"/>
      <c r="CX118" s="46"/>
      <c r="CY118" s="19"/>
      <c r="CZ118" s="19"/>
      <c r="DA118" s="19"/>
      <c r="DB118" s="19"/>
      <c r="DC118" s="19"/>
    </row>
    <row r="119" spans="2:107" ht="12.75" hidden="1" customHeight="1" x14ac:dyDescent="0.3">
      <c r="C119" s="663" t="str">
        <f>O66</f>
        <v>Univ FY2021</v>
      </c>
      <c r="D119" s="664"/>
      <c r="E119" s="664"/>
      <c r="F119" s="664"/>
      <c r="G119" s="664"/>
      <c r="H119" s="664"/>
      <c r="I119" s="664"/>
      <c r="J119" s="664"/>
      <c r="K119" s="664"/>
      <c r="L119" s="664"/>
      <c r="M119" s="664"/>
      <c r="N119" s="664"/>
      <c r="O119" s="664"/>
      <c r="P119" s="664"/>
      <c r="Q119" s="665"/>
      <c r="R119" s="19"/>
      <c r="S119" s="19"/>
      <c r="T119" s="19"/>
      <c r="U119" s="663" t="str">
        <f>O74</f>
        <v>Univ FY2022</v>
      </c>
      <c r="V119" s="664"/>
      <c r="W119" s="664"/>
      <c r="X119" s="664"/>
      <c r="Y119" s="664"/>
      <c r="Z119" s="664"/>
      <c r="AA119" s="664"/>
      <c r="AB119" s="664"/>
      <c r="AC119" s="664"/>
      <c r="AD119" s="664"/>
      <c r="AE119" s="664"/>
      <c r="AF119" s="664"/>
      <c r="AG119" s="664"/>
      <c r="AH119" s="664"/>
      <c r="AI119" s="665"/>
      <c r="AJ119" s="19"/>
      <c r="AK119" s="19"/>
      <c r="AL119" s="19"/>
      <c r="AM119" s="663" t="str">
        <f>O82</f>
        <v>Univ FY2023</v>
      </c>
      <c r="AN119" s="664"/>
      <c r="AO119" s="664"/>
      <c r="AP119" s="664"/>
      <c r="AQ119" s="664"/>
      <c r="AR119" s="664"/>
      <c r="AS119" s="664"/>
      <c r="AT119" s="664"/>
      <c r="AU119" s="664"/>
      <c r="AV119" s="664"/>
      <c r="AW119" s="664"/>
      <c r="AX119" s="664"/>
      <c r="AY119" s="664"/>
      <c r="AZ119" s="664"/>
      <c r="BA119" s="665"/>
      <c r="BD119" s="20"/>
      <c r="BE119" s="53"/>
      <c r="BF119" s="53"/>
      <c r="BG119" s="53"/>
      <c r="BH119" s="53"/>
      <c r="BI119" s="53"/>
      <c r="BJ119" s="53"/>
      <c r="BK119" s="53"/>
      <c r="BL119" s="53"/>
      <c r="BM119" s="53"/>
      <c r="BN119" s="53"/>
      <c r="BO119" s="53"/>
      <c r="BP119" s="53"/>
      <c r="BQ119" s="53"/>
      <c r="BR119" s="53"/>
      <c r="BS119" s="53"/>
      <c r="BT119" s="19"/>
      <c r="BU119" s="19"/>
      <c r="BV119" s="19"/>
      <c r="BW119" s="53"/>
      <c r="BX119" s="53"/>
      <c r="BY119" s="53"/>
      <c r="BZ119" s="53"/>
      <c r="CA119" s="53"/>
      <c r="CB119" s="53"/>
      <c r="CC119" s="53"/>
      <c r="CD119" s="53"/>
      <c r="CE119" s="53"/>
      <c r="CF119" s="53"/>
      <c r="CG119" s="53"/>
      <c r="CH119" s="53"/>
      <c r="CI119" s="53"/>
      <c r="CJ119" s="53"/>
      <c r="CK119" s="53"/>
      <c r="CL119" s="19"/>
      <c r="CM119" s="19"/>
      <c r="CN119" s="19"/>
      <c r="CO119" s="53"/>
      <c r="CP119" s="53"/>
      <c r="CQ119" s="53"/>
      <c r="CR119" s="53"/>
      <c r="CS119" s="53"/>
      <c r="CT119" s="53"/>
      <c r="CU119" s="53"/>
      <c r="CV119" s="53"/>
      <c r="CW119" s="53"/>
      <c r="CX119" s="53"/>
      <c r="CY119" s="53"/>
      <c r="CZ119" s="53"/>
      <c r="DA119" s="53"/>
      <c r="DB119" s="53"/>
      <c r="DC119" s="53"/>
    </row>
    <row r="120" spans="2:107" hidden="1" x14ac:dyDescent="0.3">
      <c r="C120" s="52"/>
      <c r="D120" s="19"/>
      <c r="E120" s="19"/>
      <c r="F120" s="19"/>
      <c r="G120" s="19"/>
      <c r="H120" s="19"/>
      <c r="I120" s="19"/>
      <c r="J120" s="19"/>
      <c r="K120" s="53"/>
      <c r="L120" s="19"/>
      <c r="M120" s="19"/>
      <c r="N120" s="19"/>
      <c r="O120" s="19"/>
      <c r="P120" s="19"/>
      <c r="Q120" s="54"/>
      <c r="R120" s="19"/>
      <c r="S120" s="19"/>
      <c r="T120" s="19"/>
      <c r="U120" s="52"/>
      <c r="V120" s="19"/>
      <c r="W120" s="19"/>
      <c r="X120" s="19"/>
      <c r="Y120" s="19"/>
      <c r="Z120" s="19"/>
      <c r="AA120" s="19"/>
      <c r="AB120" s="19"/>
      <c r="AC120" s="19"/>
      <c r="AD120" s="19"/>
      <c r="AE120" s="19"/>
      <c r="AF120" s="19"/>
      <c r="AG120" s="19"/>
      <c r="AH120" s="19"/>
      <c r="AI120" s="54"/>
      <c r="AJ120" s="19"/>
      <c r="AK120" s="19"/>
      <c r="AL120" s="19"/>
      <c r="AM120" s="52"/>
      <c r="AN120" s="19"/>
      <c r="AO120" s="19"/>
      <c r="AP120" s="19"/>
      <c r="AQ120" s="19"/>
      <c r="AR120" s="19"/>
      <c r="AS120" s="19"/>
      <c r="AT120" s="19"/>
      <c r="AU120" s="19"/>
      <c r="AV120" s="19"/>
      <c r="AW120" s="19"/>
      <c r="AX120" s="25"/>
      <c r="AY120" s="25"/>
      <c r="AZ120" s="19"/>
      <c r="BA120" s="54"/>
      <c r="BD120" s="20"/>
      <c r="BE120" s="19"/>
      <c r="BF120" s="19"/>
      <c r="BG120" s="19"/>
      <c r="BH120" s="19"/>
      <c r="BI120" s="19"/>
      <c r="BJ120" s="19"/>
      <c r="BK120" s="19"/>
      <c r="BL120" s="19"/>
      <c r="BM120" s="53"/>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25"/>
      <c r="DA120" s="25"/>
      <c r="DB120" s="19"/>
      <c r="DC120" s="19"/>
    </row>
    <row r="121" spans="2:107" hidden="1" x14ac:dyDescent="0.3">
      <c r="C121" s="52"/>
      <c r="D121" s="19"/>
      <c r="E121" s="19"/>
      <c r="F121" s="19"/>
      <c r="G121" s="19"/>
      <c r="H121" s="19"/>
      <c r="I121" s="19"/>
      <c r="J121" s="19"/>
      <c r="K121" s="25" t="s">
        <v>74</v>
      </c>
      <c r="L121" s="19"/>
      <c r="M121" s="19"/>
      <c r="N121" s="19"/>
      <c r="O121" s="25" t="s">
        <v>75</v>
      </c>
      <c r="P121" s="19"/>
      <c r="Q121" s="55" t="s">
        <v>76</v>
      </c>
      <c r="R121" s="19"/>
      <c r="S121" s="19"/>
      <c r="T121" s="19"/>
      <c r="U121" s="52"/>
      <c r="V121" s="19"/>
      <c r="W121" s="19"/>
      <c r="X121" s="19"/>
      <c r="Y121" s="19"/>
      <c r="Z121" s="19"/>
      <c r="AA121" s="19"/>
      <c r="AB121" s="19"/>
      <c r="AC121" s="25" t="s">
        <v>77</v>
      </c>
      <c r="AD121" s="19"/>
      <c r="AE121" s="19"/>
      <c r="AF121" s="19"/>
      <c r="AG121" s="19" t="str">
        <f>O121</f>
        <v>after</v>
      </c>
      <c r="AH121" s="19"/>
      <c r="AI121" s="54" t="str">
        <f>Q121</f>
        <v>b4</v>
      </c>
      <c r="AJ121" s="19"/>
      <c r="AK121" s="19"/>
      <c r="AL121" s="19"/>
      <c r="AM121" s="52"/>
      <c r="AN121" s="19"/>
      <c r="AO121" s="19"/>
      <c r="AP121" s="19"/>
      <c r="AQ121" s="19"/>
      <c r="AR121" s="19"/>
      <c r="AS121" s="19"/>
      <c r="AT121" s="19"/>
      <c r="AU121" s="25" t="s">
        <v>78</v>
      </c>
      <c r="AV121" s="19"/>
      <c r="AW121" s="19"/>
      <c r="AX121" s="44"/>
      <c r="AY121" s="19" t="str">
        <f>AG121</f>
        <v>after</v>
      </c>
      <c r="AZ121" s="19"/>
      <c r="BA121" s="54" t="str">
        <f>AI121</f>
        <v>b4</v>
      </c>
      <c r="BD121" s="20"/>
      <c r="BE121" s="19"/>
      <c r="BF121" s="19"/>
      <c r="BG121" s="19"/>
      <c r="BH121" s="19"/>
      <c r="BI121" s="19"/>
      <c r="BJ121" s="19"/>
      <c r="BK121" s="19"/>
      <c r="BL121" s="19"/>
      <c r="BM121" s="25"/>
      <c r="BN121" s="19"/>
      <c r="BO121" s="19"/>
      <c r="BP121" s="19"/>
      <c r="BQ121" s="25"/>
      <c r="BR121" s="19"/>
      <c r="BS121" s="25"/>
      <c r="BT121" s="19"/>
      <c r="BU121" s="19"/>
      <c r="BV121" s="19"/>
      <c r="BW121" s="19"/>
      <c r="BX121" s="19"/>
      <c r="BY121" s="19"/>
      <c r="BZ121" s="19"/>
      <c r="CA121" s="19"/>
      <c r="CB121" s="19"/>
      <c r="CC121" s="19"/>
      <c r="CD121" s="19"/>
      <c r="CE121" s="25"/>
      <c r="CF121" s="19"/>
      <c r="CG121" s="19"/>
      <c r="CH121" s="19"/>
      <c r="CI121" s="19"/>
      <c r="CJ121" s="19"/>
      <c r="CK121" s="19"/>
      <c r="CL121" s="19"/>
      <c r="CM121" s="19"/>
      <c r="CN121" s="19"/>
      <c r="CO121" s="19"/>
      <c r="CP121" s="19"/>
      <c r="CQ121" s="19"/>
      <c r="CR121" s="19"/>
      <c r="CS121" s="19"/>
      <c r="CT121" s="19"/>
      <c r="CU121" s="19"/>
      <c r="CV121" s="19"/>
      <c r="CW121" s="25"/>
      <c r="CX121" s="19"/>
      <c r="CY121" s="19"/>
      <c r="CZ121" s="44"/>
      <c r="DA121" s="19"/>
      <c r="DB121" s="19"/>
      <c r="DC121" s="19"/>
    </row>
    <row r="122" spans="2:107" hidden="1" x14ac:dyDescent="0.3">
      <c r="C122" s="661">
        <f>O68</f>
        <v>44013</v>
      </c>
      <c r="D122" s="662"/>
      <c r="E122" s="662"/>
      <c r="F122" s="662"/>
      <c r="G122" s="662"/>
      <c r="H122" s="662"/>
      <c r="I122" s="662"/>
      <c r="J122" s="19"/>
      <c r="K122" s="25">
        <f t="shared" ref="K122:K127" si="0">COUNTIF(M122,"2")</f>
        <v>0</v>
      </c>
      <c r="L122" s="19"/>
      <c r="M122" s="25">
        <f t="shared" ref="M122:M127" si="1">SUM(O122:Q122)</f>
        <v>1</v>
      </c>
      <c r="N122" s="19"/>
      <c r="O122" s="25">
        <f>IF(C122&gt;=$C$117,1,IF($C$117&lt;C123,1,0))</f>
        <v>1</v>
      </c>
      <c r="P122" s="19"/>
      <c r="Q122" s="55">
        <f t="shared" ref="Q122:Q127" si="2">IF(C122&lt;=$U$117,1,0)</f>
        <v>0</v>
      </c>
      <c r="R122" s="19"/>
      <c r="S122" s="19"/>
      <c r="T122" s="19"/>
      <c r="U122" s="648">
        <f>EDATE(C134,1)</f>
        <v>44378</v>
      </c>
      <c r="V122" s="649"/>
      <c r="W122" s="649"/>
      <c r="X122" s="649"/>
      <c r="Y122" s="649"/>
      <c r="Z122" s="649"/>
      <c r="AA122" s="649"/>
      <c r="AB122" s="19"/>
      <c r="AC122" s="25">
        <f t="shared" ref="AC122:AC127" si="3">COUNTIF(AE122,"2")</f>
        <v>0</v>
      </c>
      <c r="AD122" s="19"/>
      <c r="AE122" s="25">
        <f t="shared" ref="AE122:AE127" si="4">SUM(AG122:AI122)</f>
        <v>1</v>
      </c>
      <c r="AF122" s="19"/>
      <c r="AG122" s="25">
        <f>IF(U122&gt;=$C$117,1,IF($C$117&lt;U123,1,0))</f>
        <v>1</v>
      </c>
      <c r="AH122" s="19"/>
      <c r="AI122" s="55">
        <f t="shared" ref="AI122:AI127" si="5">IF(U122&lt;=$U$117,1,0)</f>
        <v>0</v>
      </c>
      <c r="AJ122" s="19"/>
      <c r="AK122" s="19"/>
      <c r="AL122" s="19"/>
      <c r="AM122" s="648">
        <f>EDATE(U134,1)</f>
        <v>44743</v>
      </c>
      <c r="AN122" s="649"/>
      <c r="AO122" s="649"/>
      <c r="AP122" s="649"/>
      <c r="AQ122" s="649"/>
      <c r="AR122" s="649"/>
      <c r="AS122" s="649"/>
      <c r="AT122" s="19"/>
      <c r="AU122" s="25">
        <f t="shared" ref="AU122:AU127" si="6">COUNTIF(AW122,"2")</f>
        <v>0</v>
      </c>
      <c r="AV122" s="19"/>
      <c r="AW122" s="25">
        <f t="shared" ref="AW122:AW127" si="7">SUM(AY122:BA122)</f>
        <v>1</v>
      </c>
      <c r="AX122" s="46"/>
      <c r="AY122" s="25">
        <f t="shared" ref="AY122:AY127" si="8">IF(AM122&gt;=$C$117,1,IF($C$117&lt;AM123,1,0))</f>
        <v>1</v>
      </c>
      <c r="AZ122" s="19"/>
      <c r="BA122" s="55">
        <f t="shared" ref="BA122:BA127" si="9">IF(AM122&lt;=$U$117,1,0)</f>
        <v>0</v>
      </c>
      <c r="BD122" s="20"/>
      <c r="BE122" s="78"/>
      <c r="BF122" s="78"/>
      <c r="BG122" s="78"/>
      <c r="BH122" s="78"/>
      <c r="BI122" s="78"/>
      <c r="BJ122" s="78"/>
      <c r="BK122" s="78"/>
      <c r="BL122" s="19"/>
      <c r="BM122" s="25"/>
      <c r="BN122" s="19"/>
      <c r="BO122" s="25"/>
      <c r="BP122" s="19"/>
      <c r="BQ122" s="25"/>
      <c r="BR122" s="19"/>
      <c r="BS122" s="25"/>
      <c r="BT122" s="19"/>
      <c r="BU122" s="19"/>
      <c r="BV122" s="19"/>
      <c r="BW122" s="81"/>
      <c r="BX122" s="81"/>
      <c r="BY122" s="81"/>
      <c r="BZ122" s="81"/>
      <c r="CA122" s="81"/>
      <c r="CB122" s="81"/>
      <c r="CC122" s="81"/>
      <c r="CD122" s="19"/>
      <c r="CE122" s="25"/>
      <c r="CF122" s="19"/>
      <c r="CG122" s="25"/>
      <c r="CH122" s="19"/>
      <c r="CI122" s="25"/>
      <c r="CJ122" s="19"/>
      <c r="CK122" s="25"/>
      <c r="CL122" s="19"/>
      <c r="CM122" s="19"/>
      <c r="CN122" s="19"/>
      <c r="CO122" s="81"/>
      <c r="CP122" s="81"/>
      <c r="CQ122" s="81"/>
      <c r="CR122" s="81"/>
      <c r="CS122" s="81"/>
      <c r="CT122" s="81"/>
      <c r="CU122" s="81"/>
      <c r="CV122" s="19"/>
      <c r="CW122" s="25"/>
      <c r="CX122" s="19"/>
      <c r="CY122" s="25"/>
      <c r="CZ122" s="46"/>
      <c r="DA122" s="25"/>
      <c r="DB122" s="19"/>
      <c r="DC122" s="25"/>
    </row>
    <row r="123" spans="2:107" hidden="1" x14ac:dyDescent="0.3">
      <c r="C123" s="661">
        <f>EDATE(C122,1)</f>
        <v>44044</v>
      </c>
      <c r="D123" s="662"/>
      <c r="E123" s="662"/>
      <c r="F123" s="662"/>
      <c r="G123" s="662"/>
      <c r="H123" s="662"/>
      <c r="I123" s="662"/>
      <c r="J123" s="19"/>
      <c r="K123" s="25">
        <f t="shared" si="0"/>
        <v>0</v>
      </c>
      <c r="L123" s="19"/>
      <c r="M123" s="25">
        <f t="shared" si="1"/>
        <v>1</v>
      </c>
      <c r="N123" s="19"/>
      <c r="O123" s="25">
        <f>IF(C123&gt;=$C$117,1,IF($C$117&lt;C124,1,0))</f>
        <v>1</v>
      </c>
      <c r="P123" s="19"/>
      <c r="Q123" s="55">
        <f t="shared" si="2"/>
        <v>0</v>
      </c>
      <c r="R123" s="19"/>
      <c r="S123" s="19"/>
      <c r="T123" s="19"/>
      <c r="U123" s="648">
        <f>EDATE(U122,1)</f>
        <v>44409</v>
      </c>
      <c r="V123" s="649"/>
      <c r="W123" s="649"/>
      <c r="X123" s="649"/>
      <c r="Y123" s="649"/>
      <c r="Z123" s="649"/>
      <c r="AA123" s="649"/>
      <c r="AB123" s="19"/>
      <c r="AC123" s="25">
        <f t="shared" si="3"/>
        <v>0</v>
      </c>
      <c r="AD123" s="19"/>
      <c r="AE123" s="25">
        <f t="shared" si="4"/>
        <v>1</v>
      </c>
      <c r="AF123" s="19"/>
      <c r="AG123" s="25">
        <f>IF(U123&gt;=$C$117,1,IF($C$117&lt;U124,1,0))</f>
        <v>1</v>
      </c>
      <c r="AH123" s="19"/>
      <c r="AI123" s="55">
        <f t="shared" si="5"/>
        <v>0</v>
      </c>
      <c r="AJ123" s="19"/>
      <c r="AK123" s="19"/>
      <c r="AL123" s="19"/>
      <c r="AM123" s="648">
        <f>EDATE(AM122,1)</f>
        <v>44774</v>
      </c>
      <c r="AN123" s="649"/>
      <c r="AO123" s="649"/>
      <c r="AP123" s="649"/>
      <c r="AQ123" s="649"/>
      <c r="AR123" s="649"/>
      <c r="AS123" s="649"/>
      <c r="AT123" s="19"/>
      <c r="AU123" s="25">
        <f t="shared" si="6"/>
        <v>0</v>
      </c>
      <c r="AV123" s="19"/>
      <c r="AW123" s="25">
        <f t="shared" si="7"/>
        <v>1</v>
      </c>
      <c r="AX123" s="25"/>
      <c r="AY123" s="25">
        <f t="shared" si="8"/>
        <v>1</v>
      </c>
      <c r="AZ123" s="19"/>
      <c r="BA123" s="55">
        <f t="shared" si="9"/>
        <v>0</v>
      </c>
      <c r="BD123" s="20"/>
      <c r="BE123" s="78"/>
      <c r="BF123" s="78"/>
      <c r="BG123" s="78"/>
      <c r="BH123" s="78"/>
      <c r="BI123" s="78"/>
      <c r="BJ123" s="78"/>
      <c r="BK123" s="78"/>
      <c r="BL123" s="19"/>
      <c r="BM123" s="25"/>
      <c r="BN123" s="19"/>
      <c r="BO123" s="25"/>
      <c r="BP123" s="19"/>
      <c r="BQ123" s="25"/>
      <c r="BR123" s="19"/>
      <c r="BS123" s="25"/>
      <c r="BT123" s="19"/>
      <c r="BU123" s="19"/>
      <c r="BV123" s="19"/>
      <c r="BW123" s="81"/>
      <c r="BX123" s="81"/>
      <c r="BY123" s="81"/>
      <c r="BZ123" s="81"/>
      <c r="CA123" s="81"/>
      <c r="CB123" s="81"/>
      <c r="CC123" s="81"/>
      <c r="CD123" s="19"/>
      <c r="CE123" s="25"/>
      <c r="CF123" s="19"/>
      <c r="CG123" s="25"/>
      <c r="CH123" s="19"/>
      <c r="CI123" s="25"/>
      <c r="CJ123" s="19"/>
      <c r="CK123" s="25"/>
      <c r="CL123" s="19"/>
      <c r="CM123" s="19"/>
      <c r="CN123" s="19"/>
      <c r="CO123" s="81"/>
      <c r="CP123" s="81"/>
      <c r="CQ123" s="81"/>
      <c r="CR123" s="81"/>
      <c r="CS123" s="81"/>
      <c r="CT123" s="81"/>
      <c r="CU123" s="81"/>
      <c r="CV123" s="19"/>
      <c r="CW123" s="25"/>
      <c r="CX123" s="19"/>
      <c r="CY123" s="25"/>
      <c r="CZ123" s="25"/>
      <c r="DA123" s="25"/>
      <c r="DB123" s="19"/>
      <c r="DC123" s="25"/>
    </row>
    <row r="124" spans="2:107" hidden="1" x14ac:dyDescent="0.3">
      <c r="C124" s="661">
        <f>EDATE(C123,1)</f>
        <v>44075</v>
      </c>
      <c r="D124" s="662"/>
      <c r="E124" s="662"/>
      <c r="F124" s="662"/>
      <c r="G124" s="662"/>
      <c r="H124" s="662"/>
      <c r="I124" s="662"/>
      <c r="J124" s="19"/>
      <c r="K124" s="25">
        <f t="shared" si="0"/>
        <v>0</v>
      </c>
      <c r="L124" s="19"/>
      <c r="M124" s="25">
        <f t="shared" si="1"/>
        <v>1</v>
      </c>
      <c r="N124" s="19"/>
      <c r="O124" s="25">
        <f>IF(C124&gt;=$C$117,1,IF($C$117&lt;C125,1,0))</f>
        <v>1</v>
      </c>
      <c r="P124" s="19"/>
      <c r="Q124" s="55">
        <f t="shared" si="2"/>
        <v>0</v>
      </c>
      <c r="R124" s="19"/>
      <c r="S124" s="19"/>
      <c r="T124" s="19"/>
      <c r="U124" s="648">
        <f>EDATE(U123,1)</f>
        <v>44440</v>
      </c>
      <c r="V124" s="649"/>
      <c r="W124" s="649"/>
      <c r="X124" s="649"/>
      <c r="Y124" s="649"/>
      <c r="Z124" s="649"/>
      <c r="AA124" s="649"/>
      <c r="AB124" s="19"/>
      <c r="AC124" s="25">
        <f t="shared" si="3"/>
        <v>0</v>
      </c>
      <c r="AD124" s="19"/>
      <c r="AE124" s="25">
        <f t="shared" si="4"/>
        <v>1</v>
      </c>
      <c r="AF124" s="19"/>
      <c r="AG124" s="25">
        <f>IF(U124&gt;=$C$117,1,IF($C$117&lt;U125,1,0))</f>
        <v>1</v>
      </c>
      <c r="AH124" s="19"/>
      <c r="AI124" s="55">
        <f t="shared" si="5"/>
        <v>0</v>
      </c>
      <c r="AJ124" s="19"/>
      <c r="AK124" s="19"/>
      <c r="AL124" s="19"/>
      <c r="AM124" s="648">
        <f>EDATE(AM123,1)</f>
        <v>44805</v>
      </c>
      <c r="AN124" s="649"/>
      <c r="AO124" s="649"/>
      <c r="AP124" s="649"/>
      <c r="AQ124" s="649"/>
      <c r="AR124" s="649"/>
      <c r="AS124" s="649"/>
      <c r="AT124" s="19"/>
      <c r="AU124" s="25">
        <f t="shared" si="6"/>
        <v>0</v>
      </c>
      <c r="AV124" s="19"/>
      <c r="AW124" s="25">
        <f t="shared" si="7"/>
        <v>1</v>
      </c>
      <c r="AX124" s="25"/>
      <c r="AY124" s="25">
        <f t="shared" si="8"/>
        <v>1</v>
      </c>
      <c r="AZ124" s="19"/>
      <c r="BA124" s="55">
        <f t="shared" si="9"/>
        <v>0</v>
      </c>
      <c r="BD124" s="20"/>
      <c r="BE124" s="78"/>
      <c r="BF124" s="78"/>
      <c r="BG124" s="78"/>
      <c r="BH124" s="78"/>
      <c r="BI124" s="78"/>
      <c r="BJ124" s="78"/>
      <c r="BK124" s="78"/>
      <c r="BL124" s="19"/>
      <c r="BM124" s="25"/>
      <c r="BN124" s="19"/>
      <c r="BO124" s="25"/>
      <c r="BP124" s="19"/>
      <c r="BQ124" s="25"/>
      <c r="BR124" s="19"/>
      <c r="BS124" s="25"/>
      <c r="BT124" s="19"/>
      <c r="BU124" s="19"/>
      <c r="BV124" s="19"/>
      <c r="BW124" s="81"/>
      <c r="BX124" s="81"/>
      <c r="BY124" s="81"/>
      <c r="BZ124" s="81"/>
      <c r="CA124" s="81"/>
      <c r="CB124" s="81"/>
      <c r="CC124" s="81"/>
      <c r="CD124" s="19"/>
      <c r="CE124" s="25"/>
      <c r="CF124" s="19"/>
      <c r="CG124" s="25"/>
      <c r="CH124" s="19"/>
      <c r="CI124" s="25"/>
      <c r="CJ124" s="19"/>
      <c r="CK124" s="25"/>
      <c r="CL124" s="19"/>
      <c r="CM124" s="19"/>
      <c r="CN124" s="19"/>
      <c r="CO124" s="81"/>
      <c r="CP124" s="81"/>
      <c r="CQ124" s="81"/>
      <c r="CR124" s="81"/>
      <c r="CS124" s="81"/>
      <c r="CT124" s="81"/>
      <c r="CU124" s="81"/>
      <c r="CV124" s="19"/>
      <c r="CW124" s="25"/>
      <c r="CX124" s="19"/>
      <c r="CY124" s="25"/>
      <c r="CZ124" s="25"/>
      <c r="DA124" s="25"/>
      <c r="DB124" s="19"/>
      <c r="DC124" s="25"/>
    </row>
    <row r="125" spans="2:107" hidden="1" x14ac:dyDescent="0.3">
      <c r="C125" s="661">
        <f>EDATE(C124,1)</f>
        <v>44105</v>
      </c>
      <c r="D125" s="662"/>
      <c r="E125" s="662"/>
      <c r="F125" s="662"/>
      <c r="G125" s="662"/>
      <c r="H125" s="662"/>
      <c r="I125" s="662"/>
      <c r="J125" s="19"/>
      <c r="K125" s="25">
        <f t="shared" si="0"/>
        <v>0</v>
      </c>
      <c r="L125" s="19"/>
      <c r="M125" s="25">
        <f t="shared" si="1"/>
        <v>1</v>
      </c>
      <c r="N125" s="19"/>
      <c r="O125" s="25">
        <f>IF(C125&gt;=$C$117,1,IF($C$117&lt;C126,1,0))</f>
        <v>1</v>
      </c>
      <c r="P125" s="19"/>
      <c r="Q125" s="55">
        <f t="shared" si="2"/>
        <v>0</v>
      </c>
      <c r="R125" s="19"/>
      <c r="S125" s="19"/>
      <c r="T125" s="19"/>
      <c r="U125" s="648">
        <f>EDATE(U124,1)</f>
        <v>44470</v>
      </c>
      <c r="V125" s="649"/>
      <c r="W125" s="649"/>
      <c r="X125" s="649"/>
      <c r="Y125" s="649"/>
      <c r="Z125" s="649"/>
      <c r="AA125" s="649"/>
      <c r="AB125" s="19"/>
      <c r="AC125" s="25">
        <f t="shared" si="3"/>
        <v>0</v>
      </c>
      <c r="AD125" s="19"/>
      <c r="AE125" s="25">
        <f t="shared" si="4"/>
        <v>1</v>
      </c>
      <c r="AF125" s="19"/>
      <c r="AG125" s="25">
        <f>IF(U125&gt;=$C$117,1,IF($C$117&lt;U126,1,0))</f>
        <v>1</v>
      </c>
      <c r="AH125" s="19"/>
      <c r="AI125" s="55">
        <f t="shared" si="5"/>
        <v>0</v>
      </c>
      <c r="AJ125" s="19"/>
      <c r="AK125" s="19"/>
      <c r="AL125" s="19"/>
      <c r="AM125" s="648">
        <f>EDATE(AM124,1)</f>
        <v>44835</v>
      </c>
      <c r="AN125" s="649"/>
      <c r="AO125" s="649"/>
      <c r="AP125" s="649"/>
      <c r="AQ125" s="649"/>
      <c r="AR125" s="649"/>
      <c r="AS125" s="649"/>
      <c r="AT125" s="19"/>
      <c r="AU125" s="25">
        <f t="shared" si="6"/>
        <v>0</v>
      </c>
      <c r="AV125" s="19"/>
      <c r="AW125" s="25">
        <f t="shared" si="7"/>
        <v>1</v>
      </c>
      <c r="AX125" s="44"/>
      <c r="AY125" s="25">
        <f t="shared" si="8"/>
        <v>1</v>
      </c>
      <c r="AZ125" s="19"/>
      <c r="BA125" s="55">
        <f t="shared" si="9"/>
        <v>0</v>
      </c>
      <c r="BD125" s="20"/>
      <c r="BE125" s="78"/>
      <c r="BF125" s="78"/>
      <c r="BG125" s="78"/>
      <c r="BH125" s="78"/>
      <c r="BI125" s="78"/>
      <c r="BJ125" s="78"/>
      <c r="BK125" s="78"/>
      <c r="BL125" s="19"/>
      <c r="BM125" s="25"/>
      <c r="BN125" s="19"/>
      <c r="BO125" s="25"/>
      <c r="BP125" s="19"/>
      <c r="BQ125" s="25"/>
      <c r="BR125" s="19"/>
      <c r="BS125" s="25"/>
      <c r="BT125" s="19"/>
      <c r="BU125" s="19"/>
      <c r="BV125" s="19"/>
      <c r="BW125" s="81"/>
      <c r="BX125" s="81"/>
      <c r="BY125" s="81"/>
      <c r="BZ125" s="81"/>
      <c r="CA125" s="81"/>
      <c r="CB125" s="81"/>
      <c r="CC125" s="81"/>
      <c r="CD125" s="19"/>
      <c r="CE125" s="25"/>
      <c r="CF125" s="19"/>
      <c r="CG125" s="25"/>
      <c r="CH125" s="19"/>
      <c r="CI125" s="25"/>
      <c r="CJ125" s="19"/>
      <c r="CK125" s="25"/>
      <c r="CL125" s="19"/>
      <c r="CM125" s="19"/>
      <c r="CN125" s="19"/>
      <c r="CO125" s="81"/>
      <c r="CP125" s="81"/>
      <c r="CQ125" s="81"/>
      <c r="CR125" s="81"/>
      <c r="CS125" s="81"/>
      <c r="CT125" s="81"/>
      <c r="CU125" s="81"/>
      <c r="CV125" s="19"/>
      <c r="CW125" s="25"/>
      <c r="CX125" s="19"/>
      <c r="CY125" s="25"/>
      <c r="CZ125" s="44"/>
      <c r="DA125" s="25"/>
      <c r="DB125" s="19"/>
      <c r="DC125" s="25"/>
    </row>
    <row r="126" spans="2:107" hidden="1" x14ac:dyDescent="0.3">
      <c r="C126" s="661">
        <f>EDATE(C125,1)</f>
        <v>44136</v>
      </c>
      <c r="D126" s="662"/>
      <c r="E126" s="662"/>
      <c r="F126" s="662"/>
      <c r="G126" s="662"/>
      <c r="H126" s="662"/>
      <c r="I126" s="662"/>
      <c r="J126" s="19"/>
      <c r="K126" s="25">
        <f t="shared" si="0"/>
        <v>0</v>
      </c>
      <c r="L126" s="19"/>
      <c r="M126" s="25">
        <f t="shared" si="1"/>
        <v>1</v>
      </c>
      <c r="N126" s="19"/>
      <c r="O126" s="25">
        <f>IF(C126&gt;=$C$117,1,IF($C$117&lt;C127,1,0))</f>
        <v>1</v>
      </c>
      <c r="P126" s="19"/>
      <c r="Q126" s="55">
        <f t="shared" si="2"/>
        <v>0</v>
      </c>
      <c r="R126" s="19"/>
      <c r="S126" s="19"/>
      <c r="T126" s="19"/>
      <c r="U126" s="648">
        <f>EDATE(U125,1)</f>
        <v>44501</v>
      </c>
      <c r="V126" s="649"/>
      <c r="W126" s="649"/>
      <c r="X126" s="649"/>
      <c r="Y126" s="649"/>
      <c r="Z126" s="649"/>
      <c r="AA126" s="649"/>
      <c r="AB126" s="19"/>
      <c r="AC126" s="25">
        <f t="shared" si="3"/>
        <v>0</v>
      </c>
      <c r="AD126" s="19"/>
      <c r="AE126" s="25">
        <f t="shared" si="4"/>
        <v>1</v>
      </c>
      <c r="AF126" s="19"/>
      <c r="AG126" s="25">
        <f>IF(U126&gt;=$C$117,1,IF($C$117&lt;U127,1,0))</f>
        <v>1</v>
      </c>
      <c r="AH126" s="19"/>
      <c r="AI126" s="55">
        <f t="shared" si="5"/>
        <v>0</v>
      </c>
      <c r="AJ126" s="19"/>
      <c r="AK126" s="19"/>
      <c r="AL126" s="19"/>
      <c r="AM126" s="648">
        <f>EDATE(AM125,1)</f>
        <v>44866</v>
      </c>
      <c r="AN126" s="649"/>
      <c r="AO126" s="649"/>
      <c r="AP126" s="649"/>
      <c r="AQ126" s="649"/>
      <c r="AR126" s="649"/>
      <c r="AS126" s="649"/>
      <c r="AT126" s="19"/>
      <c r="AU126" s="25">
        <f t="shared" si="6"/>
        <v>0</v>
      </c>
      <c r="AV126" s="19"/>
      <c r="AW126" s="25">
        <f t="shared" si="7"/>
        <v>1</v>
      </c>
      <c r="AX126" s="46"/>
      <c r="AY126" s="25">
        <f t="shared" si="8"/>
        <v>1</v>
      </c>
      <c r="AZ126" s="19"/>
      <c r="BA126" s="55">
        <f t="shared" si="9"/>
        <v>0</v>
      </c>
      <c r="BD126" s="20"/>
      <c r="BE126" s="78"/>
      <c r="BF126" s="78"/>
      <c r="BG126" s="78"/>
      <c r="BH126" s="78"/>
      <c r="BI126" s="78"/>
      <c r="BJ126" s="78"/>
      <c r="BK126" s="78"/>
      <c r="BL126" s="19"/>
      <c r="BM126" s="25"/>
      <c r="BN126" s="19"/>
      <c r="BO126" s="25"/>
      <c r="BP126" s="19"/>
      <c r="BQ126" s="25"/>
      <c r="BR126" s="19"/>
      <c r="BS126" s="25"/>
      <c r="BT126" s="19"/>
      <c r="BU126" s="19"/>
      <c r="BV126" s="19"/>
      <c r="BW126" s="81"/>
      <c r="BX126" s="81"/>
      <c r="BY126" s="81"/>
      <c r="BZ126" s="81"/>
      <c r="CA126" s="81"/>
      <c r="CB126" s="81"/>
      <c r="CC126" s="81"/>
      <c r="CD126" s="19"/>
      <c r="CE126" s="25"/>
      <c r="CF126" s="19"/>
      <c r="CG126" s="25"/>
      <c r="CH126" s="19"/>
      <c r="CI126" s="25"/>
      <c r="CJ126" s="19"/>
      <c r="CK126" s="25"/>
      <c r="CL126" s="19"/>
      <c r="CM126" s="19"/>
      <c r="CN126" s="19"/>
      <c r="CO126" s="81"/>
      <c r="CP126" s="81"/>
      <c r="CQ126" s="81"/>
      <c r="CR126" s="81"/>
      <c r="CS126" s="81"/>
      <c r="CT126" s="81"/>
      <c r="CU126" s="81"/>
      <c r="CV126" s="19"/>
      <c r="CW126" s="25"/>
      <c r="CX126" s="19"/>
      <c r="CY126" s="25"/>
      <c r="CZ126" s="46"/>
      <c r="DA126" s="25"/>
      <c r="DB126" s="19"/>
      <c r="DC126" s="25"/>
    </row>
    <row r="127" spans="2:107" hidden="1" x14ac:dyDescent="0.3">
      <c r="C127" s="661">
        <f>EDATE(C126,1)</f>
        <v>44166</v>
      </c>
      <c r="D127" s="662"/>
      <c r="E127" s="662"/>
      <c r="F127" s="662"/>
      <c r="G127" s="662"/>
      <c r="H127" s="662"/>
      <c r="I127" s="662"/>
      <c r="J127" s="19"/>
      <c r="K127" s="25">
        <f t="shared" si="0"/>
        <v>0</v>
      </c>
      <c r="L127" s="19"/>
      <c r="M127" s="25">
        <f t="shared" si="1"/>
        <v>1</v>
      </c>
      <c r="N127" s="19"/>
      <c r="O127" s="25">
        <f>IF(C127&gt;=$C$117,1,IF($C$117&lt;I128,1,0))</f>
        <v>1</v>
      </c>
      <c r="P127" s="19"/>
      <c r="Q127" s="55">
        <f t="shared" si="2"/>
        <v>0</v>
      </c>
      <c r="R127" s="19"/>
      <c r="S127" s="19"/>
      <c r="T127" s="19"/>
      <c r="U127" s="648">
        <f>EDATE(U126,1)</f>
        <v>44531</v>
      </c>
      <c r="V127" s="649"/>
      <c r="W127" s="649"/>
      <c r="X127" s="649"/>
      <c r="Y127" s="649"/>
      <c r="Z127" s="649"/>
      <c r="AA127" s="649"/>
      <c r="AB127" s="19"/>
      <c r="AC127" s="25">
        <f t="shared" si="3"/>
        <v>0</v>
      </c>
      <c r="AD127" s="19"/>
      <c r="AE127" s="25">
        <f t="shared" si="4"/>
        <v>1</v>
      </c>
      <c r="AF127" s="19"/>
      <c r="AG127" s="25">
        <f>IF(U127&gt;=$C$117,1,IF($C$117&lt;AA128,1,0))</f>
        <v>1</v>
      </c>
      <c r="AH127" s="19"/>
      <c r="AI127" s="55">
        <f t="shared" si="5"/>
        <v>0</v>
      </c>
      <c r="AJ127" s="19"/>
      <c r="AK127" s="19"/>
      <c r="AL127" s="19"/>
      <c r="AM127" s="648">
        <f>EDATE(AM126,1)</f>
        <v>44896</v>
      </c>
      <c r="AN127" s="649"/>
      <c r="AO127" s="649"/>
      <c r="AP127" s="649"/>
      <c r="AQ127" s="649"/>
      <c r="AR127" s="649"/>
      <c r="AS127" s="649"/>
      <c r="AT127" s="19"/>
      <c r="AU127" s="25">
        <f t="shared" si="6"/>
        <v>0</v>
      </c>
      <c r="AV127" s="19"/>
      <c r="AW127" s="25">
        <f t="shared" si="7"/>
        <v>1</v>
      </c>
      <c r="AX127" s="25"/>
      <c r="AY127" s="25">
        <f t="shared" si="8"/>
        <v>1</v>
      </c>
      <c r="AZ127" s="19"/>
      <c r="BA127" s="55">
        <f t="shared" si="9"/>
        <v>0</v>
      </c>
      <c r="BD127" s="20"/>
      <c r="BE127" s="78"/>
      <c r="BF127" s="78"/>
      <c r="BG127" s="78"/>
      <c r="BH127" s="78"/>
      <c r="BI127" s="78"/>
      <c r="BJ127" s="78"/>
      <c r="BK127" s="78"/>
      <c r="BL127" s="19"/>
      <c r="BM127" s="25"/>
      <c r="BN127" s="19"/>
      <c r="BO127" s="25"/>
      <c r="BP127" s="19"/>
      <c r="BQ127" s="25"/>
      <c r="BR127" s="19"/>
      <c r="BS127" s="25"/>
      <c r="BT127" s="19"/>
      <c r="BU127" s="19"/>
      <c r="BV127" s="19"/>
      <c r="BW127" s="81"/>
      <c r="BX127" s="81"/>
      <c r="BY127" s="81"/>
      <c r="BZ127" s="81"/>
      <c r="CA127" s="81"/>
      <c r="CB127" s="81"/>
      <c r="CC127" s="81"/>
      <c r="CD127" s="19"/>
      <c r="CE127" s="25"/>
      <c r="CF127" s="19"/>
      <c r="CG127" s="25"/>
      <c r="CH127" s="19"/>
      <c r="CI127" s="25"/>
      <c r="CJ127" s="19"/>
      <c r="CK127" s="25"/>
      <c r="CL127" s="19"/>
      <c r="CM127" s="19"/>
      <c r="CN127" s="19"/>
      <c r="CO127" s="81"/>
      <c r="CP127" s="81"/>
      <c r="CQ127" s="81"/>
      <c r="CR127" s="81"/>
      <c r="CS127" s="81"/>
      <c r="CT127" s="81"/>
      <c r="CU127" s="81"/>
      <c r="CV127" s="19"/>
      <c r="CW127" s="25"/>
      <c r="CX127" s="19"/>
      <c r="CY127" s="25"/>
      <c r="CZ127" s="25"/>
      <c r="DA127" s="25"/>
      <c r="DB127" s="19"/>
      <c r="DC127" s="25"/>
    </row>
    <row r="128" spans="2:107" hidden="1" x14ac:dyDescent="0.3">
      <c r="C128" s="52"/>
      <c r="D128" s="19"/>
      <c r="E128" s="19"/>
      <c r="F128" s="19"/>
      <c r="G128" s="19"/>
      <c r="H128" s="19"/>
      <c r="I128" s="78"/>
      <c r="J128" s="19"/>
      <c r="K128" s="56">
        <f>SUM(K122:K127)</f>
        <v>0</v>
      </c>
      <c r="L128" s="19"/>
      <c r="M128" s="25"/>
      <c r="N128" s="19"/>
      <c r="O128" s="25"/>
      <c r="P128" s="19"/>
      <c r="Q128" s="55"/>
      <c r="R128" s="19"/>
      <c r="S128" s="19"/>
      <c r="T128" s="19"/>
      <c r="U128" s="57"/>
      <c r="V128" s="24"/>
      <c r="W128" s="24"/>
      <c r="X128" s="24"/>
      <c r="Y128" s="24"/>
      <c r="Z128" s="24"/>
      <c r="AA128" s="24"/>
      <c r="AB128" s="19"/>
      <c r="AC128" s="56">
        <f>SUM(AC122:AC127)</f>
        <v>0</v>
      </c>
      <c r="AD128" s="19"/>
      <c r="AE128" s="25"/>
      <c r="AF128" s="19"/>
      <c r="AG128" s="25"/>
      <c r="AH128" s="19"/>
      <c r="AI128" s="55"/>
      <c r="AJ128" s="19"/>
      <c r="AK128" s="19"/>
      <c r="AL128" s="19"/>
      <c r="AM128" s="58"/>
      <c r="AN128" s="19"/>
      <c r="AO128" s="19"/>
      <c r="AP128" s="19"/>
      <c r="AQ128" s="19"/>
      <c r="AR128" s="19"/>
      <c r="AS128" s="19"/>
      <c r="AT128" s="19"/>
      <c r="AU128" s="56">
        <f>SUM(AU122:AU127)</f>
        <v>0</v>
      </c>
      <c r="AV128" s="19"/>
      <c r="AW128" s="25"/>
      <c r="AX128" s="25"/>
      <c r="AY128" s="25"/>
      <c r="AZ128" s="19"/>
      <c r="BA128" s="55"/>
      <c r="BD128" s="20"/>
      <c r="BE128" s="19"/>
      <c r="BF128" s="19"/>
      <c r="BG128" s="19"/>
      <c r="BH128" s="19"/>
      <c r="BI128" s="19"/>
      <c r="BJ128" s="19"/>
      <c r="BK128" s="78"/>
      <c r="BL128" s="19"/>
      <c r="BM128" s="56"/>
      <c r="BN128" s="19"/>
      <c r="BO128" s="25"/>
      <c r="BP128" s="19"/>
      <c r="BQ128" s="25"/>
      <c r="BR128" s="19"/>
      <c r="BS128" s="25"/>
      <c r="BT128" s="19"/>
      <c r="BU128" s="19"/>
      <c r="BV128" s="19"/>
      <c r="BW128" s="24"/>
      <c r="BX128" s="24"/>
      <c r="BY128" s="24"/>
      <c r="BZ128" s="24"/>
      <c r="CA128" s="24"/>
      <c r="CB128" s="24"/>
      <c r="CC128" s="24"/>
      <c r="CD128" s="19"/>
      <c r="CE128" s="56"/>
      <c r="CF128" s="19"/>
      <c r="CG128" s="25"/>
      <c r="CH128" s="19"/>
      <c r="CI128" s="25"/>
      <c r="CJ128" s="19"/>
      <c r="CK128" s="25"/>
      <c r="CL128" s="19"/>
      <c r="CM128" s="19"/>
      <c r="CN128" s="19"/>
      <c r="CO128" s="25"/>
      <c r="CP128" s="19"/>
      <c r="CQ128" s="19"/>
      <c r="CR128" s="19"/>
      <c r="CS128" s="19"/>
      <c r="CT128" s="19"/>
      <c r="CU128" s="19"/>
      <c r="CV128" s="19"/>
      <c r="CW128" s="56"/>
      <c r="CX128" s="19"/>
      <c r="CY128" s="25"/>
      <c r="CZ128" s="25"/>
      <c r="DA128" s="25"/>
      <c r="DB128" s="19"/>
      <c r="DC128" s="25"/>
    </row>
    <row r="129" spans="3:107" hidden="1" x14ac:dyDescent="0.3">
      <c r="C129" s="661">
        <f>EDATE(C127,1)</f>
        <v>44197</v>
      </c>
      <c r="D129" s="662"/>
      <c r="E129" s="662"/>
      <c r="F129" s="662"/>
      <c r="G129" s="662"/>
      <c r="H129" s="662"/>
      <c r="I129" s="662"/>
      <c r="J129" s="19"/>
      <c r="K129" s="25">
        <f t="shared" ref="K129:K134" si="10">COUNTIF(M129,"2")</f>
        <v>0</v>
      </c>
      <c r="L129" s="19"/>
      <c r="M129" s="25">
        <f t="shared" ref="M129:M134" si="11">SUM(O129:Q129)</f>
        <v>1</v>
      </c>
      <c r="N129" s="19"/>
      <c r="O129" s="25">
        <f>IF(C129&gt;=$C$117,1,IF($C$117&lt;C130,1,0))</f>
        <v>1</v>
      </c>
      <c r="P129" s="19"/>
      <c r="Q129" s="55">
        <f t="shared" ref="Q129:Q134" si="12">IF(C129&lt;=$U$117,1,0)</f>
        <v>0</v>
      </c>
      <c r="R129" s="19"/>
      <c r="S129" s="19"/>
      <c r="T129" s="19"/>
      <c r="U129" s="648">
        <f>EDATE(U127,1)</f>
        <v>44562</v>
      </c>
      <c r="V129" s="649"/>
      <c r="W129" s="649"/>
      <c r="X129" s="649"/>
      <c r="Y129" s="649"/>
      <c r="Z129" s="649"/>
      <c r="AA129" s="649"/>
      <c r="AB129" s="19"/>
      <c r="AC129" s="25">
        <f t="shared" ref="AC129:AC134" si="13">COUNTIF(AE129,"2")</f>
        <v>0</v>
      </c>
      <c r="AD129" s="19"/>
      <c r="AE129" s="25">
        <f t="shared" ref="AE129:AE134" si="14">SUM(AG129:AI129)</f>
        <v>1</v>
      </c>
      <c r="AF129" s="19"/>
      <c r="AG129" s="25">
        <f>IF(U129&gt;=$C$117,1,IF($C$117&lt;U130,1,0))</f>
        <v>1</v>
      </c>
      <c r="AH129" s="19"/>
      <c r="AI129" s="55">
        <f t="shared" ref="AI129:AI134" si="15">IF(U129&lt;=$U$117,1,0)</f>
        <v>0</v>
      </c>
      <c r="AJ129" s="19"/>
      <c r="AK129" s="19"/>
      <c r="AL129" s="19"/>
      <c r="AM129" s="648">
        <f>EDATE(AM127,1)</f>
        <v>44927</v>
      </c>
      <c r="AN129" s="649"/>
      <c r="AO129" s="649"/>
      <c r="AP129" s="649"/>
      <c r="AQ129" s="649"/>
      <c r="AR129" s="649"/>
      <c r="AS129" s="649"/>
      <c r="AT129" s="19"/>
      <c r="AU129" s="25">
        <f t="shared" ref="AU129:AU134" si="16">COUNTIF(AW129,"2")</f>
        <v>0</v>
      </c>
      <c r="AV129" s="19"/>
      <c r="AW129" s="25">
        <f t="shared" ref="AW129:AW134" si="17">SUM(AY129:BA129)</f>
        <v>1</v>
      </c>
      <c r="AX129" s="44"/>
      <c r="AY129" s="25">
        <f>IF(AM129&gt;=$C$117,1,IF($C$117&lt;AM130,1,0))</f>
        <v>1</v>
      </c>
      <c r="AZ129" s="19"/>
      <c r="BA129" s="55">
        <f t="shared" ref="BA129:BA134" si="18">IF(AM129&lt;=$U$117,1,0)</f>
        <v>0</v>
      </c>
      <c r="BD129" s="20"/>
      <c r="BE129" s="78"/>
      <c r="BF129" s="78"/>
      <c r="BG129" s="78"/>
      <c r="BH129" s="78"/>
      <c r="BI129" s="78"/>
      <c r="BJ129" s="78"/>
      <c r="BK129" s="78"/>
      <c r="BL129" s="19"/>
      <c r="BM129" s="25"/>
      <c r="BN129" s="19"/>
      <c r="BO129" s="25"/>
      <c r="BP129" s="19"/>
      <c r="BQ129" s="25"/>
      <c r="BR129" s="19"/>
      <c r="BS129" s="25"/>
      <c r="BT129" s="19"/>
      <c r="BU129" s="19"/>
      <c r="BV129" s="19"/>
      <c r="BW129" s="81"/>
      <c r="BX129" s="81"/>
      <c r="BY129" s="81"/>
      <c r="BZ129" s="81"/>
      <c r="CA129" s="81"/>
      <c r="CB129" s="81"/>
      <c r="CC129" s="81"/>
      <c r="CD129" s="19"/>
      <c r="CE129" s="25"/>
      <c r="CF129" s="19"/>
      <c r="CG129" s="25"/>
      <c r="CH129" s="19"/>
      <c r="CI129" s="25"/>
      <c r="CJ129" s="19"/>
      <c r="CK129" s="25"/>
      <c r="CL129" s="19"/>
      <c r="CM129" s="19"/>
      <c r="CN129" s="19"/>
      <c r="CO129" s="81"/>
      <c r="CP129" s="81"/>
      <c r="CQ129" s="81"/>
      <c r="CR129" s="81"/>
      <c r="CS129" s="81"/>
      <c r="CT129" s="81"/>
      <c r="CU129" s="81"/>
      <c r="CV129" s="19"/>
      <c r="CW129" s="25"/>
      <c r="CX129" s="19"/>
      <c r="CY129" s="25"/>
      <c r="CZ129" s="44"/>
      <c r="DA129" s="25"/>
      <c r="DB129" s="19"/>
      <c r="DC129" s="25"/>
    </row>
    <row r="130" spans="3:107" hidden="1" x14ac:dyDescent="0.3">
      <c r="C130" s="661">
        <f>EDATE(C129,1)</f>
        <v>44228</v>
      </c>
      <c r="D130" s="662"/>
      <c r="E130" s="662"/>
      <c r="F130" s="662"/>
      <c r="G130" s="662"/>
      <c r="H130" s="662"/>
      <c r="I130" s="662"/>
      <c r="J130" s="19"/>
      <c r="K130" s="25">
        <f t="shared" si="10"/>
        <v>0</v>
      </c>
      <c r="L130" s="19"/>
      <c r="M130" s="25">
        <f t="shared" si="11"/>
        <v>1</v>
      </c>
      <c r="N130" s="19"/>
      <c r="O130" s="25">
        <f>IF(C130&gt;=$C$117,1,IF($C$117&lt;C131,1,0))</f>
        <v>1</v>
      </c>
      <c r="P130" s="19"/>
      <c r="Q130" s="55">
        <f t="shared" si="12"/>
        <v>0</v>
      </c>
      <c r="R130" s="19"/>
      <c r="S130" s="19"/>
      <c r="T130" s="19"/>
      <c r="U130" s="648">
        <f>EDATE(U129,1)</f>
        <v>44593</v>
      </c>
      <c r="V130" s="649"/>
      <c r="W130" s="649"/>
      <c r="X130" s="649"/>
      <c r="Y130" s="649"/>
      <c r="Z130" s="649"/>
      <c r="AA130" s="649"/>
      <c r="AB130" s="19"/>
      <c r="AC130" s="25">
        <f t="shared" si="13"/>
        <v>0</v>
      </c>
      <c r="AD130" s="19"/>
      <c r="AE130" s="25">
        <f t="shared" si="14"/>
        <v>1</v>
      </c>
      <c r="AF130" s="19"/>
      <c r="AG130" s="25">
        <f>IF(U130&gt;=$C$117,1,IF($C$117&lt;U131,1,0))</f>
        <v>1</v>
      </c>
      <c r="AH130" s="19"/>
      <c r="AI130" s="55">
        <f t="shared" si="15"/>
        <v>0</v>
      </c>
      <c r="AJ130" s="19"/>
      <c r="AK130" s="19"/>
      <c r="AL130" s="19"/>
      <c r="AM130" s="648">
        <f>EDATE(AM129,1)</f>
        <v>44958</v>
      </c>
      <c r="AN130" s="649"/>
      <c r="AO130" s="649"/>
      <c r="AP130" s="649"/>
      <c r="AQ130" s="649"/>
      <c r="AR130" s="649"/>
      <c r="AS130" s="649"/>
      <c r="AT130" s="19"/>
      <c r="AU130" s="25">
        <f t="shared" si="16"/>
        <v>0</v>
      </c>
      <c r="AV130" s="19"/>
      <c r="AW130" s="25">
        <f t="shared" si="17"/>
        <v>1</v>
      </c>
      <c r="AX130" s="46"/>
      <c r="AY130" s="25">
        <f>IF(AM130&gt;=$C$117,1,IF($C$117&lt;AM131,1,0))</f>
        <v>1</v>
      </c>
      <c r="AZ130" s="19"/>
      <c r="BA130" s="55">
        <f t="shared" si="18"/>
        <v>0</v>
      </c>
      <c r="BD130" s="20"/>
      <c r="BE130" s="78"/>
      <c r="BF130" s="78"/>
      <c r="BG130" s="78"/>
      <c r="BH130" s="78"/>
      <c r="BI130" s="78"/>
      <c r="BJ130" s="78"/>
      <c r="BK130" s="78"/>
      <c r="BL130" s="19"/>
      <c r="BM130" s="25"/>
      <c r="BN130" s="19"/>
      <c r="BO130" s="25"/>
      <c r="BP130" s="19"/>
      <c r="BQ130" s="25"/>
      <c r="BR130" s="19"/>
      <c r="BS130" s="25"/>
      <c r="BT130" s="19"/>
      <c r="BU130" s="19"/>
      <c r="BV130" s="19"/>
      <c r="BW130" s="81"/>
      <c r="BX130" s="81"/>
      <c r="BY130" s="81"/>
      <c r="BZ130" s="81"/>
      <c r="CA130" s="81"/>
      <c r="CB130" s="81"/>
      <c r="CC130" s="81"/>
      <c r="CD130" s="19"/>
      <c r="CE130" s="25"/>
      <c r="CF130" s="19"/>
      <c r="CG130" s="25"/>
      <c r="CH130" s="19"/>
      <c r="CI130" s="25"/>
      <c r="CJ130" s="19"/>
      <c r="CK130" s="25"/>
      <c r="CL130" s="19"/>
      <c r="CM130" s="19"/>
      <c r="CN130" s="19"/>
      <c r="CO130" s="81"/>
      <c r="CP130" s="81"/>
      <c r="CQ130" s="81"/>
      <c r="CR130" s="81"/>
      <c r="CS130" s="81"/>
      <c r="CT130" s="81"/>
      <c r="CU130" s="81"/>
      <c r="CV130" s="19"/>
      <c r="CW130" s="25"/>
      <c r="CX130" s="19"/>
      <c r="CY130" s="25"/>
      <c r="CZ130" s="46"/>
      <c r="DA130" s="25"/>
      <c r="DB130" s="19"/>
      <c r="DC130" s="25"/>
    </row>
    <row r="131" spans="3:107" hidden="1" x14ac:dyDescent="0.3">
      <c r="C131" s="661">
        <f>EDATE(C130,1)</f>
        <v>44256</v>
      </c>
      <c r="D131" s="662"/>
      <c r="E131" s="662"/>
      <c r="F131" s="662"/>
      <c r="G131" s="662"/>
      <c r="H131" s="662"/>
      <c r="I131" s="662"/>
      <c r="J131" s="19"/>
      <c r="K131" s="25">
        <f t="shared" si="10"/>
        <v>0</v>
      </c>
      <c r="L131" s="19"/>
      <c r="M131" s="25">
        <f t="shared" si="11"/>
        <v>1</v>
      </c>
      <c r="N131" s="19"/>
      <c r="O131" s="25">
        <f>IF(C131&gt;=$C$117,1,IF($C$117&lt;C132,1,0))</f>
        <v>1</v>
      </c>
      <c r="P131" s="19"/>
      <c r="Q131" s="55">
        <f t="shared" si="12"/>
        <v>0</v>
      </c>
      <c r="R131" s="19"/>
      <c r="S131" s="19"/>
      <c r="T131" s="19"/>
      <c r="U131" s="648">
        <f>EDATE(U130,1)</f>
        <v>44621</v>
      </c>
      <c r="V131" s="649"/>
      <c r="W131" s="649"/>
      <c r="X131" s="649"/>
      <c r="Y131" s="649"/>
      <c r="Z131" s="649"/>
      <c r="AA131" s="649"/>
      <c r="AB131" s="19"/>
      <c r="AC131" s="25">
        <f t="shared" si="13"/>
        <v>0</v>
      </c>
      <c r="AD131" s="19"/>
      <c r="AE131" s="25">
        <f t="shared" si="14"/>
        <v>1</v>
      </c>
      <c r="AF131" s="19"/>
      <c r="AG131" s="25">
        <f>IF(U131&gt;=$C$117,1,IF($C$117&lt;U132,1,0))</f>
        <v>1</v>
      </c>
      <c r="AH131" s="19"/>
      <c r="AI131" s="55">
        <f t="shared" si="15"/>
        <v>0</v>
      </c>
      <c r="AJ131" s="19"/>
      <c r="AK131" s="19"/>
      <c r="AL131" s="19"/>
      <c r="AM131" s="648">
        <f>EDATE(AM130,1)</f>
        <v>44986</v>
      </c>
      <c r="AN131" s="649"/>
      <c r="AO131" s="649"/>
      <c r="AP131" s="649"/>
      <c r="AQ131" s="649"/>
      <c r="AR131" s="649"/>
      <c r="AS131" s="649"/>
      <c r="AT131" s="19"/>
      <c r="AU131" s="25">
        <f t="shared" si="16"/>
        <v>0</v>
      </c>
      <c r="AV131" s="19"/>
      <c r="AW131" s="25">
        <f t="shared" si="17"/>
        <v>1</v>
      </c>
      <c r="AX131" s="25"/>
      <c r="AY131" s="25">
        <f>IF(AM131&gt;=$C$117,1,IF($C$117&lt;AM132,1,0))</f>
        <v>1</v>
      </c>
      <c r="AZ131" s="19"/>
      <c r="BA131" s="55">
        <f t="shared" si="18"/>
        <v>0</v>
      </c>
      <c r="BD131" s="20"/>
      <c r="BE131" s="78"/>
      <c r="BF131" s="78"/>
      <c r="BG131" s="78"/>
      <c r="BH131" s="78"/>
      <c r="BI131" s="78"/>
      <c r="BJ131" s="78"/>
      <c r="BK131" s="78"/>
      <c r="BL131" s="19"/>
      <c r="BM131" s="25"/>
      <c r="BN131" s="19"/>
      <c r="BO131" s="25"/>
      <c r="BP131" s="19"/>
      <c r="BQ131" s="25"/>
      <c r="BR131" s="19"/>
      <c r="BS131" s="25"/>
      <c r="BT131" s="19"/>
      <c r="BU131" s="19"/>
      <c r="BV131" s="19"/>
      <c r="BW131" s="81"/>
      <c r="BX131" s="81"/>
      <c r="BY131" s="81"/>
      <c r="BZ131" s="81"/>
      <c r="CA131" s="81"/>
      <c r="CB131" s="81"/>
      <c r="CC131" s="81"/>
      <c r="CD131" s="19"/>
      <c r="CE131" s="25"/>
      <c r="CF131" s="19"/>
      <c r="CG131" s="25"/>
      <c r="CH131" s="19"/>
      <c r="CI131" s="25"/>
      <c r="CJ131" s="19"/>
      <c r="CK131" s="25"/>
      <c r="CL131" s="19"/>
      <c r="CM131" s="19"/>
      <c r="CN131" s="19"/>
      <c r="CO131" s="81"/>
      <c r="CP131" s="81"/>
      <c r="CQ131" s="81"/>
      <c r="CR131" s="81"/>
      <c r="CS131" s="81"/>
      <c r="CT131" s="81"/>
      <c r="CU131" s="81"/>
      <c r="CV131" s="19"/>
      <c r="CW131" s="25"/>
      <c r="CX131" s="19"/>
      <c r="CY131" s="25"/>
      <c r="CZ131" s="25"/>
      <c r="DA131" s="25"/>
      <c r="DB131" s="19"/>
      <c r="DC131" s="25"/>
    </row>
    <row r="132" spans="3:107" ht="12.75" hidden="1" customHeight="1" x14ac:dyDescent="0.3">
      <c r="C132" s="661">
        <f>EDATE(C131,1)</f>
        <v>44287</v>
      </c>
      <c r="D132" s="662"/>
      <c r="E132" s="662"/>
      <c r="F132" s="662"/>
      <c r="G132" s="662"/>
      <c r="H132" s="662"/>
      <c r="I132" s="662"/>
      <c r="J132" s="19"/>
      <c r="K132" s="25">
        <f t="shared" si="10"/>
        <v>0</v>
      </c>
      <c r="L132" s="19"/>
      <c r="M132" s="25">
        <f t="shared" si="11"/>
        <v>1</v>
      </c>
      <c r="N132" s="19"/>
      <c r="O132" s="25">
        <f>IF(C132&gt;=$C$117,1,IF($C$117&lt;C133,1,0))</f>
        <v>1</v>
      </c>
      <c r="P132" s="19"/>
      <c r="Q132" s="55">
        <f t="shared" si="12"/>
        <v>0</v>
      </c>
      <c r="R132" s="19"/>
      <c r="S132" s="19"/>
      <c r="T132" s="19"/>
      <c r="U132" s="648">
        <f>EDATE(U131,1)</f>
        <v>44652</v>
      </c>
      <c r="V132" s="649"/>
      <c r="W132" s="649"/>
      <c r="X132" s="649"/>
      <c r="Y132" s="649"/>
      <c r="Z132" s="649"/>
      <c r="AA132" s="649"/>
      <c r="AB132" s="19"/>
      <c r="AC132" s="25">
        <f t="shared" si="13"/>
        <v>0</v>
      </c>
      <c r="AD132" s="19"/>
      <c r="AE132" s="25">
        <f t="shared" si="14"/>
        <v>1</v>
      </c>
      <c r="AF132" s="19"/>
      <c r="AG132" s="25">
        <f>IF(U132&gt;=$C$117,1,IF($C$117&lt;U133,1,0))</f>
        <v>1</v>
      </c>
      <c r="AH132" s="19"/>
      <c r="AI132" s="55">
        <f t="shared" si="15"/>
        <v>0</v>
      </c>
      <c r="AJ132" s="19"/>
      <c r="AK132" s="19"/>
      <c r="AL132" s="19"/>
      <c r="AM132" s="648">
        <f>EDATE(AM131,1)</f>
        <v>45017</v>
      </c>
      <c r="AN132" s="649"/>
      <c r="AO132" s="649"/>
      <c r="AP132" s="649"/>
      <c r="AQ132" s="649"/>
      <c r="AR132" s="649"/>
      <c r="AS132" s="649"/>
      <c r="AT132" s="19"/>
      <c r="AU132" s="25">
        <f t="shared" si="16"/>
        <v>0</v>
      </c>
      <c r="AV132" s="19"/>
      <c r="AW132" s="25">
        <f t="shared" si="17"/>
        <v>1</v>
      </c>
      <c r="AX132" s="25"/>
      <c r="AY132" s="25">
        <f>IF(AM132&gt;=$C$117,1,IF($C$117&lt;AM133,1,0))</f>
        <v>1</v>
      </c>
      <c r="AZ132" s="19"/>
      <c r="BA132" s="55">
        <f t="shared" si="18"/>
        <v>0</v>
      </c>
      <c r="BD132" s="20"/>
      <c r="BE132" s="78"/>
      <c r="BF132" s="78"/>
      <c r="BG132" s="78"/>
      <c r="BH132" s="78"/>
      <c r="BI132" s="78"/>
      <c r="BJ132" s="78"/>
      <c r="BK132" s="78"/>
      <c r="BL132" s="19"/>
      <c r="BM132" s="25"/>
      <c r="BN132" s="19"/>
      <c r="BO132" s="25"/>
      <c r="BP132" s="19"/>
      <c r="BQ132" s="25"/>
      <c r="BR132" s="19"/>
      <c r="BS132" s="25"/>
      <c r="BT132" s="19"/>
      <c r="BU132" s="19"/>
      <c r="BV132" s="19"/>
      <c r="BW132" s="81"/>
      <c r="BX132" s="81"/>
      <c r="BY132" s="81"/>
      <c r="BZ132" s="81"/>
      <c r="CA132" s="81"/>
      <c r="CB132" s="81"/>
      <c r="CC132" s="81"/>
      <c r="CD132" s="19"/>
      <c r="CE132" s="25"/>
      <c r="CF132" s="19"/>
      <c r="CG132" s="25"/>
      <c r="CH132" s="19"/>
      <c r="CI132" s="25"/>
      <c r="CJ132" s="19"/>
      <c r="CK132" s="25"/>
      <c r="CL132" s="19"/>
      <c r="CM132" s="19"/>
      <c r="CN132" s="19"/>
      <c r="CO132" s="81"/>
      <c r="CP132" s="81"/>
      <c r="CQ132" s="81"/>
      <c r="CR132" s="81"/>
      <c r="CS132" s="81"/>
      <c r="CT132" s="81"/>
      <c r="CU132" s="81"/>
      <c r="CV132" s="19"/>
      <c r="CW132" s="25"/>
      <c r="CX132" s="19"/>
      <c r="CY132" s="25"/>
      <c r="CZ132" s="25"/>
      <c r="DA132" s="25"/>
      <c r="DB132" s="19"/>
      <c r="DC132" s="25"/>
    </row>
    <row r="133" spans="3:107" hidden="1" x14ac:dyDescent="0.3">
      <c r="C133" s="661">
        <f>EDATE(C132,1)</f>
        <v>44317</v>
      </c>
      <c r="D133" s="662"/>
      <c r="E133" s="662"/>
      <c r="F133" s="662"/>
      <c r="G133" s="662"/>
      <c r="H133" s="662"/>
      <c r="I133" s="662"/>
      <c r="J133" s="19"/>
      <c r="K133" s="25">
        <f t="shared" si="10"/>
        <v>0</v>
      </c>
      <c r="L133" s="19"/>
      <c r="M133" s="25">
        <f t="shared" si="11"/>
        <v>1</v>
      </c>
      <c r="N133" s="19"/>
      <c r="O133" s="25">
        <f>IF(C133&gt;=$C$117,1,IF($C$117&lt;C134,1,0))</f>
        <v>1</v>
      </c>
      <c r="P133" s="19"/>
      <c r="Q133" s="55">
        <f t="shared" si="12"/>
        <v>0</v>
      </c>
      <c r="R133" s="19"/>
      <c r="S133" s="19"/>
      <c r="T133" s="19"/>
      <c r="U133" s="648">
        <f>EDATE(U132,1)</f>
        <v>44682</v>
      </c>
      <c r="V133" s="649"/>
      <c r="W133" s="649"/>
      <c r="X133" s="649"/>
      <c r="Y133" s="649"/>
      <c r="Z133" s="649"/>
      <c r="AA133" s="649"/>
      <c r="AB133" s="19"/>
      <c r="AC133" s="25">
        <f t="shared" si="13"/>
        <v>0</v>
      </c>
      <c r="AD133" s="19"/>
      <c r="AE133" s="25">
        <f t="shared" si="14"/>
        <v>1</v>
      </c>
      <c r="AF133" s="19"/>
      <c r="AG133" s="25">
        <f>IF(U133&gt;=$C$117,1,IF($C$117&lt;U134,1,0))</f>
        <v>1</v>
      </c>
      <c r="AH133" s="19"/>
      <c r="AI133" s="55">
        <f t="shared" si="15"/>
        <v>0</v>
      </c>
      <c r="AJ133" s="19"/>
      <c r="AK133" s="19"/>
      <c r="AL133" s="19"/>
      <c r="AM133" s="648">
        <f>EDATE(AM132,1)</f>
        <v>45047</v>
      </c>
      <c r="AN133" s="649"/>
      <c r="AO133" s="649"/>
      <c r="AP133" s="649"/>
      <c r="AQ133" s="649"/>
      <c r="AR133" s="649"/>
      <c r="AS133" s="649"/>
      <c r="AT133" s="19"/>
      <c r="AU133" s="25">
        <f t="shared" si="16"/>
        <v>0</v>
      </c>
      <c r="AV133" s="19"/>
      <c r="AW133" s="25">
        <f t="shared" si="17"/>
        <v>1</v>
      </c>
      <c r="AX133" s="44"/>
      <c r="AY133" s="25">
        <f>IF(AM133&gt;=$C$117,1,IF($C$117&lt;AM134,1,0))</f>
        <v>1</v>
      </c>
      <c r="AZ133" s="19"/>
      <c r="BA133" s="55">
        <f t="shared" si="18"/>
        <v>0</v>
      </c>
      <c r="BD133" s="20"/>
      <c r="BE133" s="78"/>
      <c r="BF133" s="78"/>
      <c r="BG133" s="78"/>
      <c r="BH133" s="78"/>
      <c r="BI133" s="78"/>
      <c r="BJ133" s="78"/>
      <c r="BK133" s="78"/>
      <c r="BL133" s="19"/>
      <c r="BM133" s="25"/>
      <c r="BN133" s="19"/>
      <c r="BO133" s="25"/>
      <c r="BP133" s="19"/>
      <c r="BQ133" s="25"/>
      <c r="BR133" s="19"/>
      <c r="BS133" s="25"/>
      <c r="BT133" s="19"/>
      <c r="BU133" s="19"/>
      <c r="BV133" s="19"/>
      <c r="BW133" s="81"/>
      <c r="BX133" s="81"/>
      <c r="BY133" s="81"/>
      <c r="BZ133" s="81"/>
      <c r="CA133" s="81"/>
      <c r="CB133" s="81"/>
      <c r="CC133" s="81"/>
      <c r="CD133" s="19"/>
      <c r="CE133" s="25"/>
      <c r="CF133" s="19"/>
      <c r="CG133" s="25"/>
      <c r="CH133" s="19"/>
      <c r="CI133" s="25"/>
      <c r="CJ133" s="19"/>
      <c r="CK133" s="25"/>
      <c r="CL133" s="19"/>
      <c r="CM133" s="19"/>
      <c r="CN133" s="19"/>
      <c r="CO133" s="81"/>
      <c r="CP133" s="81"/>
      <c r="CQ133" s="81"/>
      <c r="CR133" s="81"/>
      <c r="CS133" s="81"/>
      <c r="CT133" s="81"/>
      <c r="CU133" s="81"/>
      <c r="CV133" s="19"/>
      <c r="CW133" s="25"/>
      <c r="CX133" s="19"/>
      <c r="CY133" s="25"/>
      <c r="CZ133" s="44"/>
      <c r="DA133" s="25"/>
      <c r="DB133" s="19"/>
      <c r="DC133" s="25"/>
    </row>
    <row r="134" spans="3:107" hidden="1" x14ac:dyDescent="0.3">
      <c r="C134" s="661">
        <f>EDATE(C133,1)</f>
        <v>44348</v>
      </c>
      <c r="D134" s="662"/>
      <c r="E134" s="662"/>
      <c r="F134" s="662"/>
      <c r="G134" s="662"/>
      <c r="H134" s="662"/>
      <c r="I134" s="662"/>
      <c r="J134" s="19"/>
      <c r="K134" s="25">
        <f t="shared" si="10"/>
        <v>0</v>
      </c>
      <c r="L134" s="19"/>
      <c r="M134" s="25">
        <f t="shared" si="11"/>
        <v>1</v>
      </c>
      <c r="N134" s="19"/>
      <c r="O134" s="25">
        <f>IF(C134&gt;=$C$117,1,IF($C$117&lt;U122,1,0))</f>
        <v>1</v>
      </c>
      <c r="P134" s="19"/>
      <c r="Q134" s="55">
        <f t="shared" si="12"/>
        <v>0</v>
      </c>
      <c r="R134" s="19"/>
      <c r="S134" s="19"/>
      <c r="T134" s="19"/>
      <c r="U134" s="648">
        <f>EDATE(U133,1)</f>
        <v>44713</v>
      </c>
      <c r="V134" s="649"/>
      <c r="W134" s="649"/>
      <c r="X134" s="649"/>
      <c r="Y134" s="649"/>
      <c r="Z134" s="649"/>
      <c r="AA134" s="649"/>
      <c r="AB134" s="19"/>
      <c r="AC134" s="25">
        <f t="shared" si="13"/>
        <v>0</v>
      </c>
      <c r="AD134" s="19"/>
      <c r="AE134" s="25">
        <f t="shared" si="14"/>
        <v>1</v>
      </c>
      <c r="AF134" s="19"/>
      <c r="AG134" s="25">
        <f>IF(U134&gt;=$C$117,1,IF($C$117&lt;AM122,1,0))</f>
        <v>1</v>
      </c>
      <c r="AH134" s="19"/>
      <c r="AI134" s="55">
        <f t="shared" si="15"/>
        <v>0</v>
      </c>
      <c r="AJ134" s="19"/>
      <c r="AK134" s="19"/>
      <c r="AL134" s="19"/>
      <c r="AM134" s="648">
        <f>EDATE(AM133,1)</f>
        <v>45078</v>
      </c>
      <c r="AN134" s="649"/>
      <c r="AO134" s="649"/>
      <c r="AP134" s="649"/>
      <c r="AQ134" s="649"/>
      <c r="AR134" s="649"/>
      <c r="AS134" s="649"/>
      <c r="AT134" s="19"/>
      <c r="AU134" s="25">
        <f t="shared" si="16"/>
        <v>0</v>
      </c>
      <c r="AV134" s="19"/>
      <c r="AW134" s="25">
        <f t="shared" si="17"/>
        <v>1</v>
      </c>
      <c r="AX134" s="46"/>
      <c r="AY134" s="25">
        <f>IF(AM134&gt;=$C$117,1,IF($C$117&lt;C143,1,0))</f>
        <v>1</v>
      </c>
      <c r="AZ134" s="19"/>
      <c r="BA134" s="55">
        <f t="shared" si="18"/>
        <v>0</v>
      </c>
      <c r="BD134" s="20"/>
      <c r="BE134" s="78"/>
      <c r="BF134" s="78"/>
      <c r="BG134" s="78"/>
      <c r="BH134" s="78"/>
      <c r="BI134" s="78"/>
      <c r="BJ134" s="78"/>
      <c r="BK134" s="78"/>
      <c r="BL134" s="19"/>
      <c r="BM134" s="25"/>
      <c r="BN134" s="19"/>
      <c r="BO134" s="25"/>
      <c r="BP134" s="19"/>
      <c r="BQ134" s="25"/>
      <c r="BR134" s="19"/>
      <c r="BS134" s="25"/>
      <c r="BT134" s="19"/>
      <c r="BU134" s="19"/>
      <c r="BV134" s="19"/>
      <c r="BW134" s="81"/>
      <c r="BX134" s="81"/>
      <c r="BY134" s="81"/>
      <c r="BZ134" s="81"/>
      <c r="CA134" s="81"/>
      <c r="CB134" s="81"/>
      <c r="CC134" s="81"/>
      <c r="CD134" s="19"/>
      <c r="CE134" s="25"/>
      <c r="CF134" s="19"/>
      <c r="CG134" s="25"/>
      <c r="CH134" s="19"/>
      <c r="CI134" s="25"/>
      <c r="CJ134" s="19"/>
      <c r="CK134" s="25"/>
      <c r="CL134" s="19"/>
      <c r="CM134" s="19"/>
      <c r="CN134" s="19"/>
      <c r="CO134" s="81"/>
      <c r="CP134" s="81"/>
      <c r="CQ134" s="81"/>
      <c r="CR134" s="81"/>
      <c r="CS134" s="81"/>
      <c r="CT134" s="81"/>
      <c r="CU134" s="81"/>
      <c r="CV134" s="19"/>
      <c r="CW134" s="25"/>
      <c r="CX134" s="19"/>
      <c r="CY134" s="25"/>
      <c r="CZ134" s="46"/>
      <c r="DA134" s="25"/>
      <c r="DB134" s="19"/>
      <c r="DC134" s="25"/>
    </row>
    <row r="135" spans="3:107" hidden="1" x14ac:dyDescent="0.3">
      <c r="C135" s="52"/>
      <c r="D135" s="19"/>
      <c r="E135" s="19"/>
      <c r="F135" s="19"/>
      <c r="G135" s="19"/>
      <c r="H135" s="19"/>
      <c r="I135" s="19"/>
      <c r="J135" s="19"/>
      <c r="K135" s="56">
        <f>SUM(K129:K134)</f>
        <v>0</v>
      </c>
      <c r="L135" s="19"/>
      <c r="M135" s="19"/>
      <c r="N135" s="19"/>
      <c r="O135" s="19"/>
      <c r="P135" s="19"/>
      <c r="Q135" s="54"/>
      <c r="R135" s="19"/>
      <c r="S135" s="19"/>
      <c r="T135" s="19"/>
      <c r="U135" s="52"/>
      <c r="V135" s="19"/>
      <c r="W135" s="19"/>
      <c r="X135" s="19"/>
      <c r="Y135" s="19"/>
      <c r="Z135" s="19"/>
      <c r="AA135" s="19"/>
      <c r="AB135" s="19"/>
      <c r="AC135" s="56">
        <f>SUM(AC129:AC134)</f>
        <v>0</v>
      </c>
      <c r="AD135" s="19"/>
      <c r="AE135" s="19"/>
      <c r="AF135" s="19"/>
      <c r="AG135" s="19"/>
      <c r="AH135" s="19"/>
      <c r="AI135" s="54"/>
      <c r="AJ135" s="19"/>
      <c r="AK135" s="19"/>
      <c r="AL135" s="19"/>
      <c r="AM135" s="52"/>
      <c r="AN135" s="19"/>
      <c r="AO135" s="19"/>
      <c r="AP135" s="19"/>
      <c r="AQ135" s="19"/>
      <c r="AR135" s="19"/>
      <c r="AS135" s="19"/>
      <c r="AT135" s="19"/>
      <c r="AU135" s="56">
        <f>SUM(AU129:AU134)</f>
        <v>0</v>
      </c>
      <c r="AV135" s="19"/>
      <c r="AW135" s="19"/>
      <c r="AX135" s="25"/>
      <c r="AY135" s="25"/>
      <c r="AZ135" s="19"/>
      <c r="BA135" s="54"/>
      <c r="BD135" s="20"/>
      <c r="BE135" s="19"/>
      <c r="BF135" s="19"/>
      <c r="BG135" s="19"/>
      <c r="BH135" s="19"/>
      <c r="BI135" s="19"/>
      <c r="BJ135" s="19"/>
      <c r="BK135" s="19"/>
      <c r="BL135" s="19"/>
      <c r="BM135" s="56"/>
      <c r="BN135" s="19"/>
      <c r="BO135" s="19"/>
      <c r="BP135" s="19"/>
      <c r="BQ135" s="19"/>
      <c r="BR135" s="19"/>
      <c r="BS135" s="19"/>
      <c r="BT135" s="19"/>
      <c r="BU135" s="19"/>
      <c r="BV135" s="19"/>
      <c r="BW135" s="19"/>
      <c r="BX135" s="19"/>
      <c r="BY135" s="19"/>
      <c r="BZ135" s="19"/>
      <c r="CA135" s="19"/>
      <c r="CB135" s="19"/>
      <c r="CC135" s="19"/>
      <c r="CD135" s="19"/>
      <c r="CE135" s="56"/>
      <c r="CF135" s="19"/>
      <c r="CG135" s="19"/>
      <c r="CH135" s="19"/>
      <c r="CI135" s="19"/>
      <c r="CJ135" s="19"/>
      <c r="CK135" s="19"/>
      <c r="CL135" s="19"/>
      <c r="CM135" s="19"/>
      <c r="CN135" s="19"/>
      <c r="CO135" s="19"/>
      <c r="CP135" s="19"/>
      <c r="CQ135" s="19"/>
      <c r="CR135" s="19"/>
      <c r="CS135" s="19"/>
      <c r="CT135" s="19"/>
      <c r="CU135" s="19"/>
      <c r="CV135" s="19"/>
      <c r="CW135" s="56"/>
      <c r="CX135" s="19"/>
      <c r="CY135" s="19"/>
      <c r="CZ135" s="25"/>
      <c r="DA135" s="25"/>
      <c r="DB135" s="19"/>
      <c r="DC135" s="19"/>
    </row>
    <row r="136" spans="3:107" hidden="1" x14ac:dyDescent="0.3">
      <c r="C136" s="52"/>
      <c r="D136" s="19"/>
      <c r="E136" s="19"/>
      <c r="F136" s="19"/>
      <c r="G136" s="19"/>
      <c r="H136" s="19"/>
      <c r="I136" s="19"/>
      <c r="J136" s="19"/>
      <c r="K136" s="25">
        <f>K135+K128</f>
        <v>0</v>
      </c>
      <c r="L136" s="19"/>
      <c r="M136" s="19"/>
      <c r="N136" s="19"/>
      <c r="O136" s="19"/>
      <c r="P136" s="19"/>
      <c r="Q136" s="54"/>
      <c r="R136" s="19"/>
      <c r="S136" s="19"/>
      <c r="T136" s="19"/>
      <c r="U136" s="52"/>
      <c r="V136" s="19"/>
      <c r="W136" s="19"/>
      <c r="X136" s="19"/>
      <c r="Y136" s="19"/>
      <c r="Z136" s="19"/>
      <c r="AA136" s="19"/>
      <c r="AB136" s="19"/>
      <c r="AC136" s="25">
        <f>AC135+AC128</f>
        <v>0</v>
      </c>
      <c r="AD136" s="19"/>
      <c r="AE136" s="19"/>
      <c r="AF136" s="19"/>
      <c r="AG136" s="19"/>
      <c r="AH136" s="19"/>
      <c r="AI136" s="54"/>
      <c r="AJ136" s="19"/>
      <c r="AK136" s="19"/>
      <c r="AL136" s="19"/>
      <c r="AM136" s="52"/>
      <c r="AN136" s="19"/>
      <c r="AO136" s="19"/>
      <c r="AP136" s="19"/>
      <c r="AQ136" s="19"/>
      <c r="AR136" s="19"/>
      <c r="AS136" s="19"/>
      <c r="AT136" s="19"/>
      <c r="AU136" s="25">
        <f>AU135+AU128</f>
        <v>0</v>
      </c>
      <c r="AV136" s="19"/>
      <c r="AW136" s="19"/>
      <c r="AX136" s="25"/>
      <c r="AY136" s="25"/>
      <c r="AZ136" s="19"/>
      <c r="BA136" s="54"/>
      <c r="BD136" s="20"/>
      <c r="BE136" s="19"/>
      <c r="BF136" s="19"/>
      <c r="BG136" s="19"/>
      <c r="BH136" s="19"/>
      <c r="BI136" s="19"/>
      <c r="BJ136" s="19"/>
      <c r="BK136" s="19"/>
      <c r="BL136" s="19"/>
      <c r="BM136" s="25"/>
      <c r="BN136" s="19"/>
      <c r="BO136" s="19"/>
      <c r="BP136" s="19"/>
      <c r="BQ136" s="19"/>
      <c r="BR136" s="19"/>
      <c r="BS136" s="19"/>
      <c r="BT136" s="19"/>
      <c r="BU136" s="19"/>
      <c r="BV136" s="19"/>
      <c r="BW136" s="19"/>
      <c r="BX136" s="19"/>
      <c r="BY136" s="19"/>
      <c r="BZ136" s="19"/>
      <c r="CA136" s="19"/>
      <c r="CB136" s="19"/>
      <c r="CC136" s="19"/>
      <c r="CD136" s="19"/>
      <c r="CE136" s="25"/>
      <c r="CF136" s="19"/>
      <c r="CG136" s="19"/>
      <c r="CH136" s="19"/>
      <c r="CI136" s="19"/>
      <c r="CJ136" s="19"/>
      <c r="CK136" s="19"/>
      <c r="CL136" s="19"/>
      <c r="CM136" s="19"/>
      <c r="CN136" s="19"/>
      <c r="CO136" s="19"/>
      <c r="CP136" s="19"/>
      <c r="CQ136" s="19"/>
      <c r="CR136" s="19"/>
      <c r="CS136" s="19"/>
      <c r="CT136" s="19"/>
      <c r="CU136" s="19"/>
      <c r="CV136" s="19"/>
      <c r="CW136" s="25"/>
      <c r="CX136" s="19"/>
      <c r="CY136" s="19"/>
      <c r="CZ136" s="25"/>
      <c r="DA136" s="25"/>
      <c r="DB136" s="19"/>
      <c r="DC136" s="19"/>
    </row>
    <row r="137" spans="3:107" hidden="1" x14ac:dyDescent="0.3">
      <c r="C137" s="59"/>
      <c r="D137" s="60"/>
      <c r="E137" s="60"/>
      <c r="F137" s="60"/>
      <c r="G137" s="60"/>
      <c r="H137" s="60"/>
      <c r="I137" s="60"/>
      <c r="J137" s="60"/>
      <c r="K137" s="60"/>
      <c r="L137" s="60"/>
      <c r="M137" s="60"/>
      <c r="N137" s="60"/>
      <c r="O137" s="60"/>
      <c r="P137" s="60"/>
      <c r="Q137" s="61"/>
      <c r="R137" s="19"/>
      <c r="S137" s="19"/>
      <c r="T137" s="19"/>
      <c r="U137" s="59"/>
      <c r="V137" s="60"/>
      <c r="W137" s="60"/>
      <c r="X137" s="60"/>
      <c r="Y137" s="60"/>
      <c r="Z137" s="60"/>
      <c r="AA137" s="60"/>
      <c r="AB137" s="60"/>
      <c r="AC137" s="60"/>
      <c r="AD137" s="60"/>
      <c r="AE137" s="60"/>
      <c r="AF137" s="60"/>
      <c r="AG137" s="60"/>
      <c r="AH137" s="60"/>
      <c r="AI137" s="61"/>
      <c r="AJ137" s="19"/>
      <c r="AK137" s="19"/>
      <c r="AL137" s="19"/>
      <c r="AM137" s="59"/>
      <c r="AN137" s="60"/>
      <c r="AO137" s="60"/>
      <c r="AP137" s="60"/>
      <c r="AQ137" s="60"/>
      <c r="AR137" s="60"/>
      <c r="AS137" s="60"/>
      <c r="AT137" s="60"/>
      <c r="AU137" s="60"/>
      <c r="AV137" s="60"/>
      <c r="AW137" s="60"/>
      <c r="AX137" s="60"/>
      <c r="AY137" s="60"/>
      <c r="AZ137" s="60"/>
      <c r="BA137" s="61"/>
      <c r="BD137" s="20"/>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row>
    <row r="138" spans="3:107" hidden="1" x14ac:dyDescent="0.3">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D138" s="20"/>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row>
    <row r="139" spans="3:107" hidden="1" x14ac:dyDescent="0.3">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D139" s="20"/>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row>
    <row r="140" spans="3:107" hidden="1" x14ac:dyDescent="0.3">
      <c r="C140" s="663" t="str">
        <f>O90</f>
        <v>Univ FY2024</v>
      </c>
      <c r="D140" s="664"/>
      <c r="E140" s="664"/>
      <c r="F140" s="664"/>
      <c r="G140" s="664"/>
      <c r="H140" s="664"/>
      <c r="I140" s="664"/>
      <c r="J140" s="664"/>
      <c r="K140" s="664"/>
      <c r="L140" s="664"/>
      <c r="M140" s="664"/>
      <c r="N140" s="664"/>
      <c r="O140" s="664"/>
      <c r="P140" s="664"/>
      <c r="Q140" s="665"/>
      <c r="R140" s="19"/>
      <c r="S140" s="19"/>
      <c r="T140" s="19"/>
      <c r="U140" s="663" t="str">
        <f>O98</f>
        <v>Univ FY2025</v>
      </c>
      <c r="V140" s="664"/>
      <c r="W140" s="664"/>
      <c r="X140" s="664"/>
      <c r="Y140" s="664"/>
      <c r="Z140" s="664"/>
      <c r="AA140" s="664"/>
      <c r="AB140" s="664"/>
      <c r="AC140" s="664"/>
      <c r="AD140" s="664"/>
      <c r="AE140" s="664"/>
      <c r="AF140" s="664"/>
      <c r="AG140" s="664"/>
      <c r="AH140" s="664"/>
      <c r="AI140" s="665"/>
      <c r="AJ140" s="19"/>
      <c r="AK140" s="19"/>
      <c r="AL140" s="19"/>
      <c r="AM140" s="663" t="str">
        <f>O106</f>
        <v>Univ FY2026</v>
      </c>
      <c r="AN140" s="664"/>
      <c r="AO140" s="664"/>
      <c r="AP140" s="664"/>
      <c r="AQ140" s="664"/>
      <c r="AR140" s="664"/>
      <c r="AS140" s="664"/>
      <c r="AT140" s="664"/>
      <c r="AU140" s="664"/>
      <c r="AV140" s="664"/>
      <c r="AW140" s="664"/>
      <c r="AX140" s="664"/>
      <c r="AY140" s="664"/>
      <c r="AZ140" s="664"/>
      <c r="BA140" s="665"/>
      <c r="BD140" s="20"/>
      <c r="BE140" s="53"/>
      <c r="BF140" s="53"/>
      <c r="BG140" s="53"/>
      <c r="BH140" s="53"/>
      <c r="BI140" s="53"/>
      <c r="BJ140" s="53"/>
      <c r="BK140" s="53"/>
      <c r="BL140" s="53"/>
      <c r="BM140" s="53"/>
      <c r="BN140" s="53"/>
      <c r="BO140" s="53"/>
      <c r="BP140" s="53"/>
      <c r="BQ140" s="53"/>
      <c r="BR140" s="53"/>
      <c r="BS140" s="53"/>
      <c r="BT140" s="19"/>
      <c r="BU140" s="19"/>
      <c r="BV140" s="19"/>
      <c r="BW140" s="53"/>
      <c r="BX140" s="53"/>
      <c r="BY140" s="53"/>
      <c r="BZ140" s="53"/>
      <c r="CA140" s="53"/>
      <c r="CB140" s="53"/>
      <c r="CC140" s="53"/>
      <c r="CD140" s="53"/>
      <c r="CE140" s="53"/>
      <c r="CF140" s="53"/>
      <c r="CG140" s="53"/>
      <c r="CH140" s="53"/>
      <c r="CI140" s="53"/>
      <c r="CJ140" s="53"/>
      <c r="CK140" s="53"/>
      <c r="CL140" s="19"/>
      <c r="CM140" s="19"/>
      <c r="CN140" s="19"/>
      <c r="CO140" s="53"/>
      <c r="CP140" s="53"/>
      <c r="CQ140" s="53"/>
      <c r="CR140" s="53"/>
      <c r="CS140" s="53"/>
      <c r="CT140" s="53"/>
      <c r="CU140" s="53"/>
      <c r="CV140" s="53"/>
      <c r="CW140" s="53"/>
      <c r="CX140" s="53"/>
      <c r="CY140" s="53"/>
      <c r="CZ140" s="53"/>
      <c r="DA140" s="53"/>
      <c r="DB140" s="53"/>
      <c r="DC140" s="53"/>
    </row>
    <row r="141" spans="3:107" ht="15" hidden="1" customHeight="1" x14ac:dyDescent="0.3">
      <c r="C141" s="52"/>
      <c r="D141" s="19"/>
      <c r="E141" s="19"/>
      <c r="F141" s="19"/>
      <c r="G141" s="19"/>
      <c r="H141" s="19"/>
      <c r="I141" s="19"/>
      <c r="J141" s="19"/>
      <c r="K141" s="19"/>
      <c r="L141" s="19"/>
      <c r="M141" s="19"/>
      <c r="N141" s="19"/>
      <c r="O141" s="19"/>
      <c r="P141" s="19"/>
      <c r="Q141" s="54"/>
      <c r="R141" s="19"/>
      <c r="S141" s="19"/>
      <c r="T141" s="19"/>
      <c r="U141" s="52"/>
      <c r="V141" s="19"/>
      <c r="W141" s="19"/>
      <c r="X141" s="19"/>
      <c r="Y141" s="19"/>
      <c r="Z141" s="19"/>
      <c r="AA141" s="19"/>
      <c r="AB141" s="19"/>
      <c r="AC141" s="19"/>
      <c r="AD141" s="19"/>
      <c r="AE141" s="19"/>
      <c r="AF141" s="19"/>
      <c r="AG141" s="19"/>
      <c r="AH141" s="19"/>
      <c r="AI141" s="54"/>
      <c r="AJ141" s="19"/>
      <c r="AK141" s="19"/>
      <c r="AL141" s="19"/>
      <c r="AM141" s="52"/>
      <c r="AN141" s="19"/>
      <c r="AO141" s="19"/>
      <c r="AP141" s="19"/>
      <c r="AQ141" s="19"/>
      <c r="AR141" s="19"/>
      <c r="AS141" s="19"/>
      <c r="AT141" s="19"/>
      <c r="AU141" s="19"/>
      <c r="AV141" s="19"/>
      <c r="AW141" s="19"/>
      <c r="AX141" s="19"/>
      <c r="AY141" s="19"/>
      <c r="AZ141" s="19"/>
      <c r="BA141" s="54"/>
      <c r="BD141" s="20"/>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row>
    <row r="142" spans="3:107" hidden="1" x14ac:dyDescent="0.3">
      <c r="C142" s="62"/>
      <c r="D142" s="19"/>
      <c r="E142" s="25"/>
      <c r="F142" s="25"/>
      <c r="G142" s="25"/>
      <c r="H142" s="19"/>
      <c r="I142" s="19"/>
      <c r="J142" s="19"/>
      <c r="K142" s="25" t="s">
        <v>79</v>
      </c>
      <c r="L142" s="19"/>
      <c r="M142" s="19"/>
      <c r="N142" s="19"/>
      <c r="O142" s="19" t="str">
        <f>O121</f>
        <v>after</v>
      </c>
      <c r="P142" s="19"/>
      <c r="Q142" s="54" t="str">
        <f>Q121</f>
        <v>b4</v>
      </c>
      <c r="R142" s="19"/>
      <c r="S142" s="19"/>
      <c r="T142" s="19"/>
      <c r="U142" s="62"/>
      <c r="V142" s="19"/>
      <c r="W142" s="25"/>
      <c r="X142" s="25"/>
      <c r="Y142" s="25"/>
      <c r="Z142" s="19"/>
      <c r="AA142" s="19"/>
      <c r="AB142" s="19"/>
      <c r="AC142" s="25" t="s">
        <v>80</v>
      </c>
      <c r="AD142" s="19"/>
      <c r="AE142" s="19"/>
      <c r="AF142" s="19"/>
      <c r="AG142" s="19" t="str">
        <f>AG121</f>
        <v>after</v>
      </c>
      <c r="AH142" s="19"/>
      <c r="AI142" s="54" t="str">
        <f>AI121</f>
        <v>b4</v>
      </c>
      <c r="AJ142" s="19"/>
      <c r="AK142" s="19"/>
      <c r="AL142" s="19"/>
      <c r="AM142" s="62"/>
      <c r="AN142" s="25" t="s">
        <v>81</v>
      </c>
      <c r="AO142" s="25"/>
      <c r="AP142" s="25"/>
      <c r="AQ142" s="25"/>
      <c r="AR142" s="19"/>
      <c r="AS142" s="19"/>
      <c r="AT142" s="19"/>
      <c r="AU142" s="19"/>
      <c r="AV142" s="19"/>
      <c r="AW142" s="19"/>
      <c r="AX142" s="19"/>
      <c r="AY142" s="19" t="str">
        <f>AY121</f>
        <v>after</v>
      </c>
      <c r="AZ142" s="19"/>
      <c r="BA142" s="54" t="str">
        <f>BA121</f>
        <v>b4</v>
      </c>
      <c r="BD142" s="20"/>
      <c r="BE142" s="96"/>
      <c r="BF142" s="19"/>
      <c r="BG142" s="25"/>
      <c r="BH142" s="25"/>
      <c r="BI142" s="25"/>
      <c r="BJ142" s="19"/>
      <c r="BK142" s="19"/>
      <c r="BL142" s="19"/>
      <c r="BM142" s="25"/>
      <c r="BN142" s="19"/>
      <c r="BO142" s="19"/>
      <c r="BP142" s="19"/>
      <c r="BQ142" s="19"/>
      <c r="BR142" s="19"/>
      <c r="BS142" s="19"/>
      <c r="BT142" s="19"/>
      <c r="BU142" s="19"/>
      <c r="BV142" s="19"/>
      <c r="BW142" s="96"/>
      <c r="BX142" s="19"/>
      <c r="BY142" s="25"/>
      <c r="BZ142" s="25"/>
      <c r="CA142" s="25"/>
      <c r="CB142" s="19"/>
      <c r="CC142" s="19"/>
      <c r="CD142" s="19"/>
      <c r="CE142" s="25"/>
      <c r="CF142" s="19"/>
      <c r="CG142" s="19"/>
      <c r="CH142" s="19"/>
      <c r="CI142" s="19"/>
      <c r="CJ142" s="19"/>
      <c r="CK142" s="19"/>
      <c r="CL142" s="19"/>
      <c r="CM142" s="19"/>
      <c r="CN142" s="19"/>
      <c r="CO142" s="96"/>
      <c r="CP142" s="25"/>
      <c r="CQ142" s="25"/>
      <c r="CR142" s="25"/>
      <c r="CS142" s="25"/>
      <c r="CT142" s="19"/>
      <c r="CU142" s="19"/>
      <c r="CV142" s="19"/>
      <c r="CW142" s="19"/>
      <c r="CX142" s="19"/>
      <c r="CY142" s="19"/>
      <c r="CZ142" s="19"/>
      <c r="DA142" s="19"/>
      <c r="DB142" s="19"/>
      <c r="DC142" s="19"/>
    </row>
    <row r="143" spans="3:107" hidden="1" x14ac:dyDescent="0.3">
      <c r="C143" s="648">
        <f>EDATE(AM134,1)</f>
        <v>45108</v>
      </c>
      <c r="D143" s="649"/>
      <c r="E143" s="649"/>
      <c r="F143" s="649"/>
      <c r="G143" s="649"/>
      <c r="H143" s="649"/>
      <c r="I143" s="649"/>
      <c r="J143" s="19"/>
      <c r="K143" s="25">
        <f t="shared" ref="K143:K148" si="19">COUNTIF(M143,"2")</f>
        <v>0</v>
      </c>
      <c r="L143" s="19"/>
      <c r="M143" s="25">
        <f t="shared" ref="M143:M148" si="20">SUM(O143:Q143)</f>
        <v>1</v>
      </c>
      <c r="N143" s="19"/>
      <c r="O143" s="25">
        <f t="shared" ref="O143:O148" si="21">IF(C143&gt;=$C$117,1,IF($C$117&lt;C144,1,0))</f>
        <v>1</v>
      </c>
      <c r="P143" s="19"/>
      <c r="Q143" s="55">
        <f t="shared" ref="Q143:Q148" si="22">IF(C143&lt;=$U$117,1,0)</f>
        <v>0</v>
      </c>
      <c r="R143" s="19"/>
      <c r="S143" s="19"/>
      <c r="T143" s="19"/>
      <c r="U143" s="648">
        <f>EDATE(C155,1)</f>
        <v>45474</v>
      </c>
      <c r="V143" s="649"/>
      <c r="W143" s="649"/>
      <c r="X143" s="649"/>
      <c r="Y143" s="649"/>
      <c r="Z143" s="649"/>
      <c r="AA143" s="649"/>
      <c r="AB143" s="19"/>
      <c r="AC143" s="25">
        <f t="shared" ref="AC143:AC148" si="23">COUNTIF(AE143,"2")</f>
        <v>0</v>
      </c>
      <c r="AD143" s="19"/>
      <c r="AE143" s="25">
        <f t="shared" ref="AE143:AE148" si="24">SUM(AG143:AI143)</f>
        <v>1</v>
      </c>
      <c r="AF143" s="19"/>
      <c r="AG143" s="25">
        <f t="shared" ref="AG143:AG148" si="25">IF(U143&gt;=$C$117,1,IF($C$117&lt;U144,1,0))</f>
        <v>1</v>
      </c>
      <c r="AH143" s="19"/>
      <c r="AI143" s="55">
        <f t="shared" ref="AI143:AI148" si="26">IF(U143&lt;=$U$117,1,0)</f>
        <v>0</v>
      </c>
      <c r="AJ143" s="19"/>
      <c r="AK143" s="19"/>
      <c r="AL143" s="19"/>
      <c r="AM143" s="648">
        <f>EDATE(U155,1)</f>
        <v>45839</v>
      </c>
      <c r="AN143" s="649"/>
      <c r="AO143" s="649"/>
      <c r="AP143" s="649"/>
      <c r="AQ143" s="649"/>
      <c r="AR143" s="649"/>
      <c r="AS143" s="649"/>
      <c r="AT143" s="19"/>
      <c r="AU143" s="25">
        <f t="shared" ref="AU143:AU148" si="27">COUNTIF(AW143,"2")</f>
        <v>0</v>
      </c>
      <c r="AV143" s="19"/>
      <c r="AW143" s="25">
        <f t="shared" ref="AW143:AW148" si="28">SUM(AY143:BA143)</f>
        <v>1</v>
      </c>
      <c r="AX143" s="19"/>
      <c r="AY143" s="25">
        <f t="shared" ref="AY143:AY148" si="29">IF(AM143&gt;=$C$117,1,IF($C$117&lt;AM144,1,0))</f>
        <v>1</v>
      </c>
      <c r="AZ143" s="19"/>
      <c r="BA143" s="55">
        <f t="shared" ref="BA143:BA148" si="30">IF(AM143&lt;=$U$117,1,0)</f>
        <v>0</v>
      </c>
      <c r="BD143" s="20"/>
      <c r="BE143" s="81"/>
      <c r="BF143" s="81"/>
      <c r="BG143" s="81"/>
      <c r="BH143" s="81"/>
      <c r="BI143" s="81"/>
      <c r="BJ143" s="81"/>
      <c r="BK143" s="81"/>
      <c r="BL143" s="19"/>
      <c r="BM143" s="25"/>
      <c r="BN143" s="19"/>
      <c r="BO143" s="25"/>
      <c r="BP143" s="19"/>
      <c r="BQ143" s="25"/>
      <c r="BR143" s="19"/>
      <c r="BS143" s="25"/>
      <c r="BT143" s="19"/>
      <c r="BU143" s="19"/>
      <c r="BV143" s="19"/>
      <c r="BW143" s="81"/>
      <c r="BX143" s="81"/>
      <c r="BY143" s="81"/>
      <c r="BZ143" s="81"/>
      <c r="CA143" s="81"/>
      <c r="CB143" s="81"/>
      <c r="CC143" s="81"/>
      <c r="CD143" s="19"/>
      <c r="CE143" s="25"/>
      <c r="CF143" s="19"/>
      <c r="CG143" s="25"/>
      <c r="CH143" s="19"/>
      <c r="CI143" s="25"/>
      <c r="CJ143" s="19"/>
      <c r="CK143" s="25"/>
      <c r="CL143" s="19"/>
      <c r="CM143" s="19"/>
      <c r="CN143" s="19"/>
      <c r="CO143" s="81"/>
      <c r="CP143" s="81"/>
      <c r="CQ143" s="81"/>
      <c r="CR143" s="81"/>
      <c r="CS143" s="81"/>
      <c r="CT143" s="81"/>
      <c r="CU143" s="81"/>
      <c r="CV143" s="19"/>
      <c r="CW143" s="25"/>
      <c r="CX143" s="19"/>
      <c r="CY143" s="25"/>
      <c r="CZ143" s="19"/>
      <c r="DA143" s="25"/>
      <c r="DB143" s="19"/>
      <c r="DC143" s="25"/>
    </row>
    <row r="144" spans="3:107" hidden="1" x14ac:dyDescent="0.3">
      <c r="C144" s="648">
        <f>EDATE(C143,1)</f>
        <v>45139</v>
      </c>
      <c r="D144" s="649"/>
      <c r="E144" s="649"/>
      <c r="F144" s="649"/>
      <c r="G144" s="649"/>
      <c r="H144" s="649"/>
      <c r="I144" s="649"/>
      <c r="J144" s="19"/>
      <c r="K144" s="25">
        <f t="shared" si="19"/>
        <v>0</v>
      </c>
      <c r="L144" s="19"/>
      <c r="M144" s="25">
        <f t="shared" si="20"/>
        <v>1</v>
      </c>
      <c r="N144" s="19"/>
      <c r="O144" s="25">
        <f t="shared" si="21"/>
        <v>1</v>
      </c>
      <c r="P144" s="19"/>
      <c r="Q144" s="55">
        <f t="shared" si="22"/>
        <v>0</v>
      </c>
      <c r="R144" s="19"/>
      <c r="S144" s="19"/>
      <c r="T144" s="19"/>
      <c r="U144" s="648">
        <f>EDATE(U143,1)</f>
        <v>45505</v>
      </c>
      <c r="V144" s="649"/>
      <c r="W144" s="649"/>
      <c r="X144" s="649"/>
      <c r="Y144" s="649"/>
      <c r="Z144" s="649"/>
      <c r="AA144" s="649"/>
      <c r="AB144" s="19"/>
      <c r="AC144" s="25">
        <f t="shared" si="23"/>
        <v>0</v>
      </c>
      <c r="AD144" s="19"/>
      <c r="AE144" s="25">
        <f t="shared" si="24"/>
        <v>1</v>
      </c>
      <c r="AF144" s="19"/>
      <c r="AG144" s="25">
        <f t="shared" si="25"/>
        <v>1</v>
      </c>
      <c r="AH144" s="19"/>
      <c r="AI144" s="55">
        <f t="shared" si="26"/>
        <v>0</v>
      </c>
      <c r="AJ144" s="19"/>
      <c r="AK144" s="19"/>
      <c r="AL144" s="19"/>
      <c r="AM144" s="648">
        <f>EDATE(AM143,1)</f>
        <v>45870</v>
      </c>
      <c r="AN144" s="649"/>
      <c r="AO144" s="649"/>
      <c r="AP144" s="649"/>
      <c r="AQ144" s="649"/>
      <c r="AR144" s="649"/>
      <c r="AS144" s="649"/>
      <c r="AT144" s="19"/>
      <c r="AU144" s="25">
        <f t="shared" si="27"/>
        <v>0</v>
      </c>
      <c r="AV144" s="19"/>
      <c r="AW144" s="25">
        <f t="shared" si="28"/>
        <v>1</v>
      </c>
      <c r="AX144" s="19"/>
      <c r="AY144" s="25">
        <f t="shared" si="29"/>
        <v>1</v>
      </c>
      <c r="AZ144" s="19"/>
      <c r="BA144" s="55">
        <f t="shared" si="30"/>
        <v>0</v>
      </c>
      <c r="BD144" s="20"/>
      <c r="BE144" s="81"/>
      <c r="BF144" s="81"/>
      <c r="BG144" s="81"/>
      <c r="BH144" s="81"/>
      <c r="BI144" s="81"/>
      <c r="BJ144" s="81"/>
      <c r="BK144" s="81"/>
      <c r="BL144" s="19"/>
      <c r="BM144" s="25"/>
      <c r="BN144" s="19"/>
      <c r="BO144" s="25"/>
      <c r="BP144" s="19"/>
      <c r="BQ144" s="25"/>
      <c r="BR144" s="19"/>
      <c r="BS144" s="25"/>
      <c r="BT144" s="19"/>
      <c r="BU144" s="19"/>
      <c r="BV144" s="19"/>
      <c r="BW144" s="81"/>
      <c r="BX144" s="81"/>
      <c r="BY144" s="81"/>
      <c r="BZ144" s="81"/>
      <c r="CA144" s="81"/>
      <c r="CB144" s="81"/>
      <c r="CC144" s="81"/>
      <c r="CD144" s="19"/>
      <c r="CE144" s="25"/>
      <c r="CF144" s="19"/>
      <c r="CG144" s="25"/>
      <c r="CH144" s="19"/>
      <c r="CI144" s="25"/>
      <c r="CJ144" s="19"/>
      <c r="CK144" s="25"/>
      <c r="CL144" s="19"/>
      <c r="CM144" s="19"/>
      <c r="CN144" s="19"/>
      <c r="CO144" s="81"/>
      <c r="CP144" s="81"/>
      <c r="CQ144" s="81"/>
      <c r="CR144" s="81"/>
      <c r="CS144" s="81"/>
      <c r="CT144" s="81"/>
      <c r="CU144" s="81"/>
      <c r="CV144" s="19"/>
      <c r="CW144" s="25"/>
      <c r="CX144" s="19"/>
      <c r="CY144" s="25"/>
      <c r="CZ144" s="19"/>
      <c r="DA144" s="25"/>
      <c r="DB144" s="19"/>
      <c r="DC144" s="25"/>
    </row>
    <row r="145" spans="2:107" hidden="1" x14ac:dyDescent="0.3">
      <c r="C145" s="648">
        <f>EDATE(C144,1)</f>
        <v>45170</v>
      </c>
      <c r="D145" s="649"/>
      <c r="E145" s="649"/>
      <c r="F145" s="649"/>
      <c r="G145" s="649"/>
      <c r="H145" s="649"/>
      <c r="I145" s="649"/>
      <c r="J145" s="19"/>
      <c r="K145" s="25">
        <f t="shared" si="19"/>
        <v>0</v>
      </c>
      <c r="L145" s="19"/>
      <c r="M145" s="25">
        <f t="shared" si="20"/>
        <v>1</v>
      </c>
      <c r="N145" s="19"/>
      <c r="O145" s="25">
        <f t="shared" si="21"/>
        <v>1</v>
      </c>
      <c r="P145" s="19"/>
      <c r="Q145" s="55">
        <f t="shared" si="22"/>
        <v>0</v>
      </c>
      <c r="R145" s="19"/>
      <c r="S145" s="19"/>
      <c r="T145" s="19"/>
      <c r="U145" s="648">
        <f>EDATE(U144,1)</f>
        <v>45536</v>
      </c>
      <c r="V145" s="649"/>
      <c r="W145" s="649"/>
      <c r="X145" s="649"/>
      <c r="Y145" s="649"/>
      <c r="Z145" s="649"/>
      <c r="AA145" s="649"/>
      <c r="AB145" s="19"/>
      <c r="AC145" s="25">
        <f t="shared" si="23"/>
        <v>0</v>
      </c>
      <c r="AD145" s="19"/>
      <c r="AE145" s="25">
        <f t="shared" si="24"/>
        <v>1</v>
      </c>
      <c r="AF145" s="19"/>
      <c r="AG145" s="25">
        <f t="shared" si="25"/>
        <v>1</v>
      </c>
      <c r="AH145" s="19"/>
      <c r="AI145" s="55">
        <f t="shared" si="26"/>
        <v>0</v>
      </c>
      <c r="AJ145" s="19"/>
      <c r="AK145" s="19"/>
      <c r="AL145" s="19"/>
      <c r="AM145" s="648">
        <f>EDATE(AM144,1)</f>
        <v>45901</v>
      </c>
      <c r="AN145" s="649"/>
      <c r="AO145" s="649"/>
      <c r="AP145" s="649"/>
      <c r="AQ145" s="649"/>
      <c r="AR145" s="649"/>
      <c r="AS145" s="649"/>
      <c r="AT145" s="19"/>
      <c r="AU145" s="25">
        <f t="shared" si="27"/>
        <v>0</v>
      </c>
      <c r="AV145" s="19"/>
      <c r="AW145" s="25">
        <f t="shared" si="28"/>
        <v>1</v>
      </c>
      <c r="AX145" s="19"/>
      <c r="AY145" s="25">
        <f t="shared" si="29"/>
        <v>1</v>
      </c>
      <c r="AZ145" s="19"/>
      <c r="BA145" s="55">
        <f t="shared" si="30"/>
        <v>0</v>
      </c>
      <c r="BD145" s="20"/>
      <c r="BE145" s="81"/>
      <c r="BF145" s="81"/>
      <c r="BG145" s="81"/>
      <c r="BH145" s="81"/>
      <c r="BI145" s="81"/>
      <c r="BJ145" s="81"/>
      <c r="BK145" s="81"/>
      <c r="BL145" s="19"/>
      <c r="BM145" s="25"/>
      <c r="BN145" s="19"/>
      <c r="BO145" s="25"/>
      <c r="BP145" s="19"/>
      <c r="BQ145" s="25"/>
      <c r="BR145" s="19"/>
      <c r="BS145" s="25"/>
      <c r="BT145" s="19"/>
      <c r="BU145" s="19"/>
      <c r="BV145" s="19"/>
      <c r="BW145" s="81"/>
      <c r="BX145" s="81"/>
      <c r="BY145" s="81"/>
      <c r="BZ145" s="81"/>
      <c r="CA145" s="81"/>
      <c r="CB145" s="81"/>
      <c r="CC145" s="81"/>
      <c r="CD145" s="19"/>
      <c r="CE145" s="25"/>
      <c r="CF145" s="19"/>
      <c r="CG145" s="25"/>
      <c r="CH145" s="19"/>
      <c r="CI145" s="25"/>
      <c r="CJ145" s="19"/>
      <c r="CK145" s="25"/>
      <c r="CL145" s="19"/>
      <c r="CM145" s="19"/>
      <c r="CN145" s="19"/>
      <c r="CO145" s="81"/>
      <c r="CP145" s="81"/>
      <c r="CQ145" s="81"/>
      <c r="CR145" s="81"/>
      <c r="CS145" s="81"/>
      <c r="CT145" s="81"/>
      <c r="CU145" s="81"/>
      <c r="CV145" s="19"/>
      <c r="CW145" s="25"/>
      <c r="CX145" s="19"/>
      <c r="CY145" s="25"/>
      <c r="CZ145" s="19"/>
      <c r="DA145" s="25"/>
      <c r="DB145" s="19"/>
      <c r="DC145" s="25"/>
    </row>
    <row r="146" spans="2:107" hidden="1" x14ac:dyDescent="0.3">
      <c r="C146" s="648">
        <f>EDATE(C145,1)</f>
        <v>45200</v>
      </c>
      <c r="D146" s="649"/>
      <c r="E146" s="649"/>
      <c r="F146" s="649"/>
      <c r="G146" s="649"/>
      <c r="H146" s="649"/>
      <c r="I146" s="649"/>
      <c r="J146" s="19"/>
      <c r="K146" s="25">
        <f t="shared" si="19"/>
        <v>0</v>
      </c>
      <c r="L146" s="19"/>
      <c r="M146" s="25">
        <f t="shared" si="20"/>
        <v>1</v>
      </c>
      <c r="N146" s="19"/>
      <c r="O146" s="25">
        <f t="shared" si="21"/>
        <v>1</v>
      </c>
      <c r="P146" s="19"/>
      <c r="Q146" s="55">
        <f t="shared" si="22"/>
        <v>0</v>
      </c>
      <c r="R146" s="19"/>
      <c r="S146" s="19"/>
      <c r="T146" s="19"/>
      <c r="U146" s="648">
        <f>EDATE(U145,1)</f>
        <v>45566</v>
      </c>
      <c r="V146" s="649"/>
      <c r="W146" s="649"/>
      <c r="X146" s="649"/>
      <c r="Y146" s="649"/>
      <c r="Z146" s="649"/>
      <c r="AA146" s="649"/>
      <c r="AB146" s="19"/>
      <c r="AC146" s="25">
        <f t="shared" si="23"/>
        <v>0</v>
      </c>
      <c r="AD146" s="19"/>
      <c r="AE146" s="25">
        <f t="shared" si="24"/>
        <v>1</v>
      </c>
      <c r="AF146" s="19"/>
      <c r="AG146" s="25">
        <f t="shared" si="25"/>
        <v>1</v>
      </c>
      <c r="AH146" s="19"/>
      <c r="AI146" s="55">
        <f t="shared" si="26"/>
        <v>0</v>
      </c>
      <c r="AJ146" s="19"/>
      <c r="AK146" s="19"/>
      <c r="AL146" s="19"/>
      <c r="AM146" s="648">
        <f>EDATE(AM145,1)</f>
        <v>45931</v>
      </c>
      <c r="AN146" s="649"/>
      <c r="AO146" s="649"/>
      <c r="AP146" s="649"/>
      <c r="AQ146" s="649"/>
      <c r="AR146" s="649"/>
      <c r="AS146" s="649"/>
      <c r="AT146" s="19"/>
      <c r="AU146" s="25">
        <f t="shared" si="27"/>
        <v>0</v>
      </c>
      <c r="AV146" s="19"/>
      <c r="AW146" s="25">
        <f t="shared" si="28"/>
        <v>1</v>
      </c>
      <c r="AX146" s="19"/>
      <c r="AY146" s="25">
        <f t="shared" si="29"/>
        <v>1</v>
      </c>
      <c r="AZ146" s="19"/>
      <c r="BA146" s="55">
        <f t="shared" si="30"/>
        <v>0</v>
      </c>
      <c r="BD146" s="20"/>
      <c r="BE146" s="81"/>
      <c r="BF146" s="81"/>
      <c r="BG146" s="81"/>
      <c r="BH146" s="81"/>
      <c r="BI146" s="81"/>
      <c r="BJ146" s="81"/>
      <c r="BK146" s="81"/>
      <c r="BL146" s="19"/>
      <c r="BM146" s="25"/>
      <c r="BN146" s="19"/>
      <c r="BO146" s="25"/>
      <c r="BP146" s="19"/>
      <c r="BQ146" s="25"/>
      <c r="BR146" s="19"/>
      <c r="BS146" s="25"/>
      <c r="BT146" s="19"/>
      <c r="BU146" s="19"/>
      <c r="BV146" s="19"/>
      <c r="BW146" s="81"/>
      <c r="BX146" s="81"/>
      <c r="BY146" s="81"/>
      <c r="BZ146" s="81"/>
      <c r="CA146" s="81"/>
      <c r="CB146" s="81"/>
      <c r="CC146" s="81"/>
      <c r="CD146" s="19"/>
      <c r="CE146" s="25"/>
      <c r="CF146" s="19"/>
      <c r="CG146" s="25"/>
      <c r="CH146" s="19"/>
      <c r="CI146" s="25"/>
      <c r="CJ146" s="19"/>
      <c r="CK146" s="25"/>
      <c r="CL146" s="19"/>
      <c r="CM146" s="19"/>
      <c r="CN146" s="19"/>
      <c r="CO146" s="81"/>
      <c r="CP146" s="81"/>
      <c r="CQ146" s="81"/>
      <c r="CR146" s="81"/>
      <c r="CS146" s="81"/>
      <c r="CT146" s="81"/>
      <c r="CU146" s="81"/>
      <c r="CV146" s="19"/>
      <c r="CW146" s="25"/>
      <c r="CX146" s="19"/>
      <c r="CY146" s="25"/>
      <c r="CZ146" s="19"/>
      <c r="DA146" s="25"/>
      <c r="DB146" s="19"/>
      <c r="DC146" s="25"/>
    </row>
    <row r="147" spans="2:107" hidden="1" x14ac:dyDescent="0.3">
      <c r="C147" s="648">
        <f>EDATE(C146,1)</f>
        <v>45231</v>
      </c>
      <c r="D147" s="649"/>
      <c r="E147" s="649"/>
      <c r="F147" s="649"/>
      <c r="G147" s="649"/>
      <c r="H147" s="649"/>
      <c r="I147" s="649"/>
      <c r="J147" s="19"/>
      <c r="K147" s="25">
        <f t="shared" si="19"/>
        <v>0</v>
      </c>
      <c r="L147" s="19"/>
      <c r="M147" s="25">
        <f t="shared" si="20"/>
        <v>1</v>
      </c>
      <c r="N147" s="19"/>
      <c r="O147" s="25">
        <f t="shared" si="21"/>
        <v>1</v>
      </c>
      <c r="P147" s="19"/>
      <c r="Q147" s="55">
        <f t="shared" si="22"/>
        <v>0</v>
      </c>
      <c r="R147" s="19"/>
      <c r="S147" s="19"/>
      <c r="T147" s="19"/>
      <c r="U147" s="648">
        <f>EDATE(U146,1)</f>
        <v>45597</v>
      </c>
      <c r="V147" s="649"/>
      <c r="W147" s="649"/>
      <c r="X147" s="649"/>
      <c r="Y147" s="649"/>
      <c r="Z147" s="649"/>
      <c r="AA147" s="649"/>
      <c r="AB147" s="19"/>
      <c r="AC147" s="25">
        <f t="shared" si="23"/>
        <v>0</v>
      </c>
      <c r="AD147" s="19"/>
      <c r="AE147" s="25">
        <f t="shared" si="24"/>
        <v>1</v>
      </c>
      <c r="AF147" s="19"/>
      <c r="AG147" s="25">
        <f t="shared" si="25"/>
        <v>1</v>
      </c>
      <c r="AH147" s="19"/>
      <c r="AI147" s="55">
        <f t="shared" si="26"/>
        <v>0</v>
      </c>
      <c r="AJ147" s="19"/>
      <c r="AK147" s="19"/>
      <c r="AL147" s="19"/>
      <c r="AM147" s="648">
        <f>EDATE(AM146,1)</f>
        <v>45962</v>
      </c>
      <c r="AN147" s="649"/>
      <c r="AO147" s="649"/>
      <c r="AP147" s="649"/>
      <c r="AQ147" s="649"/>
      <c r="AR147" s="649"/>
      <c r="AS147" s="649"/>
      <c r="AT147" s="19"/>
      <c r="AU147" s="25">
        <f t="shared" si="27"/>
        <v>0</v>
      </c>
      <c r="AV147" s="19"/>
      <c r="AW147" s="25">
        <f t="shared" si="28"/>
        <v>1</v>
      </c>
      <c r="AX147" s="19"/>
      <c r="AY147" s="25">
        <f t="shared" si="29"/>
        <v>1</v>
      </c>
      <c r="AZ147" s="19"/>
      <c r="BA147" s="55">
        <f t="shared" si="30"/>
        <v>0</v>
      </c>
      <c r="BD147" s="20"/>
      <c r="BE147" s="81"/>
      <c r="BF147" s="81"/>
      <c r="BG147" s="81"/>
      <c r="BH147" s="81"/>
      <c r="BI147" s="81"/>
      <c r="BJ147" s="81"/>
      <c r="BK147" s="81"/>
      <c r="BL147" s="19"/>
      <c r="BM147" s="25"/>
      <c r="BN147" s="19"/>
      <c r="BO147" s="25"/>
      <c r="BP147" s="19"/>
      <c r="BQ147" s="25"/>
      <c r="BR147" s="19"/>
      <c r="BS147" s="25"/>
      <c r="BT147" s="19"/>
      <c r="BU147" s="19"/>
      <c r="BV147" s="19"/>
      <c r="BW147" s="81"/>
      <c r="BX147" s="81"/>
      <c r="BY147" s="81"/>
      <c r="BZ147" s="81"/>
      <c r="CA147" s="81"/>
      <c r="CB147" s="81"/>
      <c r="CC147" s="81"/>
      <c r="CD147" s="19"/>
      <c r="CE147" s="25"/>
      <c r="CF147" s="19"/>
      <c r="CG147" s="25"/>
      <c r="CH147" s="19"/>
      <c r="CI147" s="25"/>
      <c r="CJ147" s="19"/>
      <c r="CK147" s="25"/>
      <c r="CL147" s="19"/>
      <c r="CM147" s="19"/>
      <c r="CN147" s="19"/>
      <c r="CO147" s="81"/>
      <c r="CP147" s="81"/>
      <c r="CQ147" s="81"/>
      <c r="CR147" s="81"/>
      <c r="CS147" s="81"/>
      <c r="CT147" s="81"/>
      <c r="CU147" s="81"/>
      <c r="CV147" s="19"/>
      <c r="CW147" s="25"/>
      <c r="CX147" s="19"/>
      <c r="CY147" s="25"/>
      <c r="CZ147" s="19"/>
      <c r="DA147" s="25"/>
      <c r="DB147" s="19"/>
      <c r="DC147" s="25"/>
    </row>
    <row r="148" spans="2:107" hidden="1" x14ac:dyDescent="0.3">
      <c r="C148" s="648">
        <f>EDATE(C147,1)</f>
        <v>45261</v>
      </c>
      <c r="D148" s="649"/>
      <c r="E148" s="649"/>
      <c r="F148" s="649"/>
      <c r="G148" s="649"/>
      <c r="H148" s="649"/>
      <c r="I148" s="649"/>
      <c r="J148" s="19"/>
      <c r="K148" s="25">
        <f t="shared" si="19"/>
        <v>0</v>
      </c>
      <c r="L148" s="19"/>
      <c r="M148" s="25">
        <f t="shared" si="20"/>
        <v>1</v>
      </c>
      <c r="N148" s="19"/>
      <c r="O148" s="25">
        <f t="shared" si="21"/>
        <v>1</v>
      </c>
      <c r="P148" s="19"/>
      <c r="Q148" s="55">
        <f t="shared" si="22"/>
        <v>0</v>
      </c>
      <c r="R148" s="19"/>
      <c r="S148" s="19"/>
      <c r="T148" s="19"/>
      <c r="U148" s="648">
        <f>EDATE(U147,1)</f>
        <v>45627</v>
      </c>
      <c r="V148" s="649"/>
      <c r="W148" s="649"/>
      <c r="X148" s="649"/>
      <c r="Y148" s="649"/>
      <c r="Z148" s="649"/>
      <c r="AA148" s="649"/>
      <c r="AB148" s="19"/>
      <c r="AC148" s="25">
        <f t="shared" si="23"/>
        <v>0</v>
      </c>
      <c r="AD148" s="19"/>
      <c r="AE148" s="25">
        <f t="shared" si="24"/>
        <v>1</v>
      </c>
      <c r="AF148" s="19"/>
      <c r="AG148" s="25">
        <f t="shared" si="25"/>
        <v>1</v>
      </c>
      <c r="AH148" s="19"/>
      <c r="AI148" s="55">
        <f t="shared" si="26"/>
        <v>0</v>
      </c>
      <c r="AJ148" s="19"/>
      <c r="AK148" s="19"/>
      <c r="AL148" s="19"/>
      <c r="AM148" s="648">
        <f>EDATE(AM147,1)</f>
        <v>45992</v>
      </c>
      <c r="AN148" s="649"/>
      <c r="AO148" s="649"/>
      <c r="AP148" s="649"/>
      <c r="AQ148" s="649"/>
      <c r="AR148" s="649"/>
      <c r="AS148" s="649"/>
      <c r="AT148" s="19"/>
      <c r="AU148" s="25">
        <f t="shared" si="27"/>
        <v>0</v>
      </c>
      <c r="AV148" s="19"/>
      <c r="AW148" s="25">
        <f t="shared" si="28"/>
        <v>1</v>
      </c>
      <c r="AX148" s="19"/>
      <c r="AY148" s="25">
        <f t="shared" si="29"/>
        <v>1</v>
      </c>
      <c r="AZ148" s="19"/>
      <c r="BA148" s="55">
        <f t="shared" si="30"/>
        <v>0</v>
      </c>
      <c r="BD148" s="20"/>
      <c r="BE148" s="81"/>
      <c r="BF148" s="81"/>
      <c r="BG148" s="81"/>
      <c r="BH148" s="81"/>
      <c r="BI148" s="81"/>
      <c r="BJ148" s="81"/>
      <c r="BK148" s="81"/>
      <c r="BL148" s="19"/>
      <c r="BM148" s="25"/>
      <c r="BN148" s="19"/>
      <c r="BO148" s="25"/>
      <c r="BP148" s="19"/>
      <c r="BQ148" s="25"/>
      <c r="BR148" s="19"/>
      <c r="BS148" s="25"/>
      <c r="BT148" s="19"/>
      <c r="BU148" s="19"/>
      <c r="BV148" s="19"/>
      <c r="BW148" s="81"/>
      <c r="BX148" s="81"/>
      <c r="BY148" s="81"/>
      <c r="BZ148" s="81"/>
      <c r="CA148" s="81"/>
      <c r="CB148" s="81"/>
      <c r="CC148" s="81"/>
      <c r="CD148" s="19"/>
      <c r="CE148" s="25"/>
      <c r="CF148" s="19"/>
      <c r="CG148" s="25"/>
      <c r="CH148" s="19"/>
      <c r="CI148" s="25"/>
      <c r="CJ148" s="19"/>
      <c r="CK148" s="25"/>
      <c r="CL148" s="19"/>
      <c r="CM148" s="19"/>
      <c r="CN148" s="19"/>
      <c r="CO148" s="81"/>
      <c r="CP148" s="81"/>
      <c r="CQ148" s="81"/>
      <c r="CR148" s="81"/>
      <c r="CS148" s="81"/>
      <c r="CT148" s="81"/>
      <c r="CU148" s="81"/>
      <c r="CV148" s="19"/>
      <c r="CW148" s="25"/>
      <c r="CX148" s="19"/>
      <c r="CY148" s="25"/>
      <c r="CZ148" s="19"/>
      <c r="DA148" s="25"/>
      <c r="DB148" s="19"/>
      <c r="DC148" s="25"/>
    </row>
    <row r="149" spans="2:107" hidden="1" x14ac:dyDescent="0.3">
      <c r="C149" s="58"/>
      <c r="D149" s="19"/>
      <c r="E149" s="19"/>
      <c r="F149" s="19"/>
      <c r="G149" s="19"/>
      <c r="H149" s="19"/>
      <c r="I149" s="19"/>
      <c r="J149" s="19"/>
      <c r="K149" s="56">
        <f>SUM(K143:K148)</f>
        <v>0</v>
      </c>
      <c r="L149" s="19"/>
      <c r="M149" s="25"/>
      <c r="N149" s="19"/>
      <c r="O149" s="25"/>
      <c r="P149" s="19"/>
      <c r="Q149" s="55"/>
      <c r="R149" s="19"/>
      <c r="S149" s="19"/>
      <c r="T149" s="19"/>
      <c r="U149" s="58"/>
      <c r="V149" s="19"/>
      <c r="W149" s="19"/>
      <c r="X149" s="19"/>
      <c r="Y149" s="19"/>
      <c r="Z149" s="19"/>
      <c r="AA149" s="19"/>
      <c r="AB149" s="19"/>
      <c r="AC149" s="56">
        <f>SUM(AC143:AC148)</f>
        <v>0</v>
      </c>
      <c r="AD149" s="19"/>
      <c r="AE149" s="25"/>
      <c r="AF149" s="19"/>
      <c r="AG149" s="25"/>
      <c r="AH149" s="19"/>
      <c r="AI149" s="55"/>
      <c r="AJ149" s="19"/>
      <c r="AK149" s="19"/>
      <c r="AL149" s="19"/>
      <c r="AM149" s="58"/>
      <c r="AN149" s="19"/>
      <c r="AO149" s="19"/>
      <c r="AP149" s="19"/>
      <c r="AQ149" s="19"/>
      <c r="AR149" s="19"/>
      <c r="AS149" s="19"/>
      <c r="AT149" s="19"/>
      <c r="AU149" s="56">
        <f>SUM(AU143:AU148)</f>
        <v>0</v>
      </c>
      <c r="AV149" s="19"/>
      <c r="AW149" s="25"/>
      <c r="AX149" s="19"/>
      <c r="AY149" s="25"/>
      <c r="AZ149" s="19"/>
      <c r="BA149" s="55"/>
      <c r="BD149" s="20"/>
      <c r="BE149" s="25"/>
      <c r="BF149" s="19"/>
      <c r="BG149" s="19"/>
      <c r="BH149" s="19"/>
      <c r="BI149" s="19"/>
      <c r="BJ149" s="19"/>
      <c r="BK149" s="19"/>
      <c r="BL149" s="19"/>
      <c r="BM149" s="56"/>
      <c r="BN149" s="19"/>
      <c r="BO149" s="25"/>
      <c r="BP149" s="19"/>
      <c r="BQ149" s="25"/>
      <c r="BR149" s="19"/>
      <c r="BS149" s="25"/>
      <c r="BT149" s="19"/>
      <c r="BU149" s="19"/>
      <c r="BV149" s="19"/>
      <c r="BW149" s="25"/>
      <c r="BX149" s="19"/>
      <c r="BY149" s="19"/>
      <c r="BZ149" s="19"/>
      <c r="CA149" s="19"/>
      <c r="CB149" s="19"/>
      <c r="CC149" s="19"/>
      <c r="CD149" s="19"/>
      <c r="CE149" s="56"/>
      <c r="CF149" s="19"/>
      <c r="CG149" s="25"/>
      <c r="CH149" s="19"/>
      <c r="CI149" s="25"/>
      <c r="CJ149" s="19"/>
      <c r="CK149" s="25"/>
      <c r="CL149" s="19"/>
      <c r="CM149" s="19"/>
      <c r="CN149" s="19"/>
      <c r="CO149" s="25"/>
      <c r="CP149" s="19"/>
      <c r="CQ149" s="19"/>
      <c r="CR149" s="19"/>
      <c r="CS149" s="19"/>
      <c r="CT149" s="19"/>
      <c r="CU149" s="19"/>
      <c r="CV149" s="19"/>
      <c r="CW149" s="56"/>
      <c r="CX149" s="19"/>
      <c r="CY149" s="25"/>
      <c r="CZ149" s="19"/>
      <c r="DA149" s="25"/>
      <c r="DB149" s="19"/>
      <c r="DC149" s="25"/>
    </row>
    <row r="150" spans="2:107" hidden="1" x14ac:dyDescent="0.3">
      <c r="C150" s="648">
        <f>EDATE(C148,1)</f>
        <v>45292</v>
      </c>
      <c r="D150" s="649"/>
      <c r="E150" s="649"/>
      <c r="F150" s="649"/>
      <c r="G150" s="649"/>
      <c r="H150" s="649"/>
      <c r="I150" s="649"/>
      <c r="J150" s="19"/>
      <c r="K150" s="25">
        <f t="shared" ref="K150:K155" si="31">COUNTIF(M150,"2")</f>
        <v>0</v>
      </c>
      <c r="L150" s="19"/>
      <c r="M150" s="25">
        <f t="shared" ref="M150:M155" si="32">SUM(O150:Q150)</f>
        <v>1</v>
      </c>
      <c r="N150" s="19"/>
      <c r="O150" s="25">
        <f>IF(C150&gt;=$C$117,1,IF($C$117&lt;C151,1,0))</f>
        <v>1</v>
      </c>
      <c r="P150" s="19"/>
      <c r="Q150" s="55">
        <f t="shared" ref="Q150:Q155" si="33">IF(C150&lt;=$U$117,1,0)</f>
        <v>0</v>
      </c>
      <c r="R150" s="19"/>
      <c r="S150" s="19"/>
      <c r="T150" s="19"/>
      <c r="U150" s="648">
        <f>EDATE(U148,1)</f>
        <v>45658</v>
      </c>
      <c r="V150" s="649"/>
      <c r="W150" s="649"/>
      <c r="X150" s="649"/>
      <c r="Y150" s="649"/>
      <c r="Z150" s="649"/>
      <c r="AA150" s="649"/>
      <c r="AB150" s="19"/>
      <c r="AC150" s="25">
        <f t="shared" ref="AC150:AC155" si="34">COUNTIF(AE150,"2")</f>
        <v>0</v>
      </c>
      <c r="AD150" s="19"/>
      <c r="AE150" s="25">
        <f t="shared" ref="AE150:AE155" si="35">SUM(AG150:AI150)</f>
        <v>1</v>
      </c>
      <c r="AF150" s="19"/>
      <c r="AG150" s="25">
        <f>IF(U150&gt;=$C$117,1,IF($C$117&lt;U151,1,0))</f>
        <v>1</v>
      </c>
      <c r="AH150" s="19"/>
      <c r="AI150" s="55">
        <f t="shared" ref="AI150:AI155" si="36">IF(U150&lt;=$U$117,1,0)</f>
        <v>0</v>
      </c>
      <c r="AJ150" s="19"/>
      <c r="AK150" s="19"/>
      <c r="AL150" s="19"/>
      <c r="AM150" s="648">
        <f>EDATE(AM148,1)</f>
        <v>46023</v>
      </c>
      <c r="AN150" s="649"/>
      <c r="AO150" s="649"/>
      <c r="AP150" s="649"/>
      <c r="AQ150" s="649"/>
      <c r="AR150" s="649"/>
      <c r="AS150" s="649"/>
      <c r="AT150" s="19"/>
      <c r="AU150" s="25">
        <f t="shared" ref="AU150:AU155" si="37">COUNTIF(AW150,"2")</f>
        <v>0</v>
      </c>
      <c r="AV150" s="19"/>
      <c r="AW150" s="25">
        <f t="shared" ref="AW150:AW155" si="38">SUM(AY150:BA150)</f>
        <v>1</v>
      </c>
      <c r="AX150" s="19"/>
      <c r="AY150" s="25">
        <f t="shared" ref="AY150:AY155" si="39">IF(AM150&gt;=$C$117,1,IF($C$117&lt;AM151,1,0))</f>
        <v>1</v>
      </c>
      <c r="AZ150" s="19"/>
      <c r="BA150" s="55">
        <f t="shared" ref="BA150:BA155" si="40">IF(AM150&lt;=$U$117,1,0)</f>
        <v>0</v>
      </c>
      <c r="BD150" s="20"/>
      <c r="BE150" s="81"/>
      <c r="BF150" s="81"/>
      <c r="BG150" s="81"/>
      <c r="BH150" s="81"/>
      <c r="BI150" s="81"/>
      <c r="BJ150" s="81"/>
      <c r="BK150" s="81"/>
      <c r="BL150" s="19"/>
      <c r="BM150" s="25"/>
      <c r="BN150" s="19"/>
      <c r="BO150" s="25"/>
      <c r="BP150" s="19"/>
      <c r="BQ150" s="25"/>
      <c r="BR150" s="19"/>
      <c r="BS150" s="25"/>
      <c r="BT150" s="19"/>
      <c r="BU150" s="19"/>
      <c r="BV150" s="19"/>
      <c r="BW150" s="81"/>
      <c r="BX150" s="81"/>
      <c r="BY150" s="81"/>
      <c r="BZ150" s="81"/>
      <c r="CA150" s="81"/>
      <c r="CB150" s="81"/>
      <c r="CC150" s="81"/>
      <c r="CD150" s="19"/>
      <c r="CE150" s="25"/>
      <c r="CF150" s="19"/>
      <c r="CG150" s="25"/>
      <c r="CH150" s="19"/>
      <c r="CI150" s="25"/>
      <c r="CJ150" s="19"/>
      <c r="CK150" s="25"/>
      <c r="CL150" s="19"/>
      <c r="CM150" s="19"/>
      <c r="CN150" s="19"/>
      <c r="CO150" s="81"/>
      <c r="CP150" s="81"/>
      <c r="CQ150" s="81"/>
      <c r="CR150" s="81"/>
      <c r="CS150" s="81"/>
      <c r="CT150" s="81"/>
      <c r="CU150" s="81"/>
      <c r="CV150" s="19"/>
      <c r="CW150" s="25"/>
      <c r="CX150" s="19"/>
      <c r="CY150" s="25"/>
      <c r="CZ150" s="19"/>
      <c r="DA150" s="25"/>
      <c r="DB150" s="19"/>
      <c r="DC150" s="25"/>
    </row>
    <row r="151" spans="2:107" hidden="1" x14ac:dyDescent="0.3">
      <c r="C151" s="648">
        <f>EDATE(C150,1)</f>
        <v>45323</v>
      </c>
      <c r="D151" s="649"/>
      <c r="E151" s="649"/>
      <c r="F151" s="649"/>
      <c r="G151" s="649"/>
      <c r="H151" s="649"/>
      <c r="I151" s="649"/>
      <c r="J151" s="19"/>
      <c r="K151" s="25">
        <f t="shared" si="31"/>
        <v>0</v>
      </c>
      <c r="L151" s="19"/>
      <c r="M151" s="25">
        <f t="shared" si="32"/>
        <v>1</v>
      </c>
      <c r="N151" s="19"/>
      <c r="O151" s="25">
        <f>IF(C151&gt;=$C$117,1,IF($C$117&lt;C152,1,0))</f>
        <v>1</v>
      </c>
      <c r="P151" s="19"/>
      <c r="Q151" s="55">
        <f t="shared" si="33"/>
        <v>0</v>
      </c>
      <c r="R151" s="19"/>
      <c r="S151" s="19"/>
      <c r="T151" s="19"/>
      <c r="U151" s="648">
        <f>EDATE(U150,1)</f>
        <v>45689</v>
      </c>
      <c r="V151" s="649"/>
      <c r="W151" s="649"/>
      <c r="X151" s="649"/>
      <c r="Y151" s="649"/>
      <c r="Z151" s="649"/>
      <c r="AA151" s="649"/>
      <c r="AB151" s="19"/>
      <c r="AC151" s="25">
        <f t="shared" si="34"/>
        <v>0</v>
      </c>
      <c r="AD151" s="19"/>
      <c r="AE151" s="25">
        <f t="shared" si="35"/>
        <v>1</v>
      </c>
      <c r="AF151" s="19"/>
      <c r="AG151" s="25">
        <f>IF(U151&gt;=$C$117,1,IF($C$117&lt;U152,1,0))</f>
        <v>1</v>
      </c>
      <c r="AH151" s="19"/>
      <c r="AI151" s="55">
        <f t="shared" si="36"/>
        <v>0</v>
      </c>
      <c r="AJ151" s="19"/>
      <c r="AK151" s="19"/>
      <c r="AL151" s="19"/>
      <c r="AM151" s="648">
        <f t="shared" ref="AM151:AM156" si="41">EDATE(AM150,1)</f>
        <v>46054</v>
      </c>
      <c r="AN151" s="649"/>
      <c r="AO151" s="649"/>
      <c r="AP151" s="649"/>
      <c r="AQ151" s="649"/>
      <c r="AR151" s="649"/>
      <c r="AS151" s="649"/>
      <c r="AT151" s="19"/>
      <c r="AU151" s="25">
        <f t="shared" si="37"/>
        <v>0</v>
      </c>
      <c r="AV151" s="19"/>
      <c r="AW151" s="25">
        <f t="shared" si="38"/>
        <v>1</v>
      </c>
      <c r="AX151" s="19"/>
      <c r="AY151" s="25">
        <f t="shared" si="39"/>
        <v>1</v>
      </c>
      <c r="AZ151" s="19"/>
      <c r="BA151" s="55">
        <f t="shared" si="40"/>
        <v>0</v>
      </c>
      <c r="BD151" s="20"/>
      <c r="BE151" s="81"/>
      <c r="BF151" s="81"/>
      <c r="BG151" s="81"/>
      <c r="BH151" s="81"/>
      <c r="BI151" s="81"/>
      <c r="BJ151" s="81"/>
      <c r="BK151" s="81"/>
      <c r="BL151" s="19"/>
      <c r="BM151" s="25"/>
      <c r="BN151" s="19"/>
      <c r="BO151" s="25"/>
      <c r="BP151" s="19"/>
      <c r="BQ151" s="25"/>
      <c r="BR151" s="19"/>
      <c r="BS151" s="25"/>
      <c r="BT151" s="19"/>
      <c r="BU151" s="19"/>
      <c r="BV151" s="19"/>
      <c r="BW151" s="81"/>
      <c r="BX151" s="81"/>
      <c r="BY151" s="81"/>
      <c r="BZ151" s="81"/>
      <c r="CA151" s="81"/>
      <c r="CB151" s="81"/>
      <c r="CC151" s="81"/>
      <c r="CD151" s="19"/>
      <c r="CE151" s="25"/>
      <c r="CF151" s="19"/>
      <c r="CG151" s="25"/>
      <c r="CH151" s="19"/>
      <c r="CI151" s="25"/>
      <c r="CJ151" s="19"/>
      <c r="CK151" s="25"/>
      <c r="CL151" s="19"/>
      <c r="CM151" s="19"/>
      <c r="CN151" s="19"/>
      <c r="CO151" s="81"/>
      <c r="CP151" s="81"/>
      <c r="CQ151" s="81"/>
      <c r="CR151" s="81"/>
      <c r="CS151" s="81"/>
      <c r="CT151" s="81"/>
      <c r="CU151" s="81"/>
      <c r="CV151" s="19"/>
      <c r="CW151" s="25"/>
      <c r="CX151" s="19"/>
      <c r="CY151" s="25"/>
      <c r="CZ151" s="19"/>
      <c r="DA151" s="25"/>
      <c r="DB151" s="19"/>
      <c r="DC151" s="25"/>
    </row>
    <row r="152" spans="2:107" hidden="1" x14ac:dyDescent="0.3">
      <c r="C152" s="648">
        <f>EDATE(C151,1)</f>
        <v>45352</v>
      </c>
      <c r="D152" s="649"/>
      <c r="E152" s="649"/>
      <c r="F152" s="649"/>
      <c r="G152" s="649"/>
      <c r="H152" s="649"/>
      <c r="I152" s="649"/>
      <c r="J152" s="19"/>
      <c r="K152" s="25">
        <f t="shared" si="31"/>
        <v>0</v>
      </c>
      <c r="L152" s="19"/>
      <c r="M152" s="25">
        <f t="shared" si="32"/>
        <v>1</v>
      </c>
      <c r="N152" s="19"/>
      <c r="O152" s="25">
        <f>IF(C152&gt;=$C$117,1,IF($C$117&lt;C153,1,0))</f>
        <v>1</v>
      </c>
      <c r="P152" s="19"/>
      <c r="Q152" s="55">
        <f t="shared" si="33"/>
        <v>0</v>
      </c>
      <c r="R152" s="19"/>
      <c r="S152" s="19"/>
      <c r="T152" s="19"/>
      <c r="U152" s="648">
        <f>EDATE(U151,1)</f>
        <v>45717</v>
      </c>
      <c r="V152" s="649"/>
      <c r="W152" s="649"/>
      <c r="X152" s="649"/>
      <c r="Y152" s="649"/>
      <c r="Z152" s="649"/>
      <c r="AA152" s="649"/>
      <c r="AB152" s="19"/>
      <c r="AC152" s="25">
        <f t="shared" si="34"/>
        <v>0</v>
      </c>
      <c r="AD152" s="19"/>
      <c r="AE152" s="25">
        <f t="shared" si="35"/>
        <v>1</v>
      </c>
      <c r="AF152" s="19"/>
      <c r="AG152" s="25">
        <f>IF(U152&gt;=$C$117,1,IF($C$117&lt;U153,1,0))</f>
        <v>1</v>
      </c>
      <c r="AH152" s="19"/>
      <c r="AI152" s="55">
        <f t="shared" si="36"/>
        <v>0</v>
      </c>
      <c r="AJ152" s="19"/>
      <c r="AK152" s="19"/>
      <c r="AL152" s="19"/>
      <c r="AM152" s="648">
        <f t="shared" si="41"/>
        <v>46082</v>
      </c>
      <c r="AN152" s="649"/>
      <c r="AO152" s="649"/>
      <c r="AP152" s="649"/>
      <c r="AQ152" s="649"/>
      <c r="AR152" s="649"/>
      <c r="AS152" s="649"/>
      <c r="AT152" s="19"/>
      <c r="AU152" s="25">
        <f t="shared" si="37"/>
        <v>0</v>
      </c>
      <c r="AV152" s="19"/>
      <c r="AW152" s="25">
        <f t="shared" si="38"/>
        <v>1</v>
      </c>
      <c r="AX152" s="19"/>
      <c r="AY152" s="25">
        <f t="shared" si="39"/>
        <v>1</v>
      </c>
      <c r="AZ152" s="19"/>
      <c r="BA152" s="55">
        <f t="shared" si="40"/>
        <v>0</v>
      </c>
      <c r="BD152" s="20"/>
      <c r="BE152" s="81"/>
      <c r="BF152" s="81"/>
      <c r="BG152" s="81"/>
      <c r="BH152" s="81"/>
      <c r="BI152" s="81"/>
      <c r="BJ152" s="81"/>
      <c r="BK152" s="81"/>
      <c r="BL152" s="19"/>
      <c r="BM152" s="25"/>
      <c r="BN152" s="19"/>
      <c r="BO152" s="25"/>
      <c r="BP152" s="19"/>
      <c r="BQ152" s="25"/>
      <c r="BR152" s="19"/>
      <c r="BS152" s="25"/>
      <c r="BT152" s="19"/>
      <c r="BU152" s="19"/>
      <c r="BV152" s="19"/>
      <c r="BW152" s="81"/>
      <c r="BX152" s="81"/>
      <c r="BY152" s="81"/>
      <c r="BZ152" s="81"/>
      <c r="CA152" s="81"/>
      <c r="CB152" s="81"/>
      <c r="CC152" s="81"/>
      <c r="CD152" s="19"/>
      <c r="CE152" s="25"/>
      <c r="CF152" s="19"/>
      <c r="CG152" s="25"/>
      <c r="CH152" s="19"/>
      <c r="CI152" s="25"/>
      <c r="CJ152" s="19"/>
      <c r="CK152" s="25"/>
      <c r="CL152" s="19"/>
      <c r="CM152" s="19"/>
      <c r="CN152" s="19"/>
      <c r="CO152" s="81"/>
      <c r="CP152" s="81"/>
      <c r="CQ152" s="81"/>
      <c r="CR152" s="81"/>
      <c r="CS152" s="81"/>
      <c r="CT152" s="81"/>
      <c r="CU152" s="81"/>
      <c r="CV152" s="19"/>
      <c r="CW152" s="25"/>
      <c r="CX152" s="19"/>
      <c r="CY152" s="25"/>
      <c r="CZ152" s="19"/>
      <c r="DA152" s="25"/>
      <c r="DB152" s="19"/>
      <c r="DC152" s="25"/>
    </row>
    <row r="153" spans="2:107" hidden="1" x14ac:dyDescent="0.3">
      <c r="C153" s="648">
        <f>EDATE(C152,1)</f>
        <v>45383</v>
      </c>
      <c r="D153" s="649"/>
      <c r="E153" s="649"/>
      <c r="F153" s="649"/>
      <c r="G153" s="649"/>
      <c r="H153" s="649"/>
      <c r="I153" s="649"/>
      <c r="J153" s="19"/>
      <c r="K153" s="25">
        <f t="shared" si="31"/>
        <v>0</v>
      </c>
      <c r="L153" s="19"/>
      <c r="M153" s="25">
        <f t="shared" si="32"/>
        <v>1</v>
      </c>
      <c r="N153" s="19"/>
      <c r="O153" s="25">
        <f>IF(C153&gt;=$C$117,1,IF($C$117&lt;C154,1,0))</f>
        <v>1</v>
      </c>
      <c r="P153" s="19"/>
      <c r="Q153" s="55">
        <f t="shared" si="33"/>
        <v>0</v>
      </c>
      <c r="R153" s="19"/>
      <c r="S153" s="19"/>
      <c r="T153" s="19"/>
      <c r="U153" s="648">
        <f>EDATE(U152,1)</f>
        <v>45748</v>
      </c>
      <c r="V153" s="649"/>
      <c r="W153" s="649"/>
      <c r="X153" s="649"/>
      <c r="Y153" s="649"/>
      <c r="Z153" s="649"/>
      <c r="AA153" s="649"/>
      <c r="AB153" s="19"/>
      <c r="AC153" s="25">
        <f t="shared" si="34"/>
        <v>0</v>
      </c>
      <c r="AD153" s="19"/>
      <c r="AE153" s="25">
        <f t="shared" si="35"/>
        <v>1</v>
      </c>
      <c r="AF153" s="19"/>
      <c r="AG153" s="25">
        <f>IF(U153&gt;=$C$117,1,IF($C$117&lt;U154,1,0))</f>
        <v>1</v>
      </c>
      <c r="AH153" s="19"/>
      <c r="AI153" s="55">
        <f t="shared" si="36"/>
        <v>0</v>
      </c>
      <c r="AJ153" s="19"/>
      <c r="AK153" s="19"/>
      <c r="AL153" s="19"/>
      <c r="AM153" s="648">
        <f t="shared" si="41"/>
        <v>46113</v>
      </c>
      <c r="AN153" s="649"/>
      <c r="AO153" s="649"/>
      <c r="AP153" s="649"/>
      <c r="AQ153" s="649"/>
      <c r="AR153" s="649"/>
      <c r="AS153" s="649"/>
      <c r="AT153" s="19"/>
      <c r="AU153" s="25">
        <f t="shared" si="37"/>
        <v>0</v>
      </c>
      <c r="AV153" s="19"/>
      <c r="AW153" s="25">
        <f t="shared" si="38"/>
        <v>1</v>
      </c>
      <c r="AX153" s="19"/>
      <c r="AY153" s="25">
        <f t="shared" si="39"/>
        <v>1</v>
      </c>
      <c r="AZ153" s="19"/>
      <c r="BA153" s="55">
        <f t="shared" si="40"/>
        <v>0</v>
      </c>
      <c r="BD153" s="20"/>
      <c r="BE153" s="81"/>
      <c r="BF153" s="81"/>
      <c r="BG153" s="81"/>
      <c r="BH153" s="81"/>
      <c r="BI153" s="81"/>
      <c r="BJ153" s="81"/>
      <c r="BK153" s="81"/>
      <c r="BL153" s="19"/>
      <c r="BM153" s="25"/>
      <c r="BN153" s="19"/>
      <c r="BO153" s="25"/>
      <c r="BP153" s="19"/>
      <c r="BQ153" s="25"/>
      <c r="BR153" s="19"/>
      <c r="BS153" s="25"/>
      <c r="BT153" s="19"/>
      <c r="BU153" s="19"/>
      <c r="BV153" s="19"/>
      <c r="BW153" s="81"/>
      <c r="BX153" s="81"/>
      <c r="BY153" s="81"/>
      <c r="BZ153" s="81"/>
      <c r="CA153" s="81"/>
      <c r="CB153" s="81"/>
      <c r="CC153" s="81"/>
      <c r="CD153" s="19"/>
      <c r="CE153" s="25"/>
      <c r="CF153" s="19"/>
      <c r="CG153" s="25"/>
      <c r="CH153" s="19"/>
      <c r="CI153" s="25"/>
      <c r="CJ153" s="19"/>
      <c r="CK153" s="25"/>
      <c r="CL153" s="19"/>
      <c r="CM153" s="19"/>
      <c r="CN153" s="19"/>
      <c r="CO153" s="81"/>
      <c r="CP153" s="81"/>
      <c r="CQ153" s="81"/>
      <c r="CR153" s="81"/>
      <c r="CS153" s="81"/>
      <c r="CT153" s="81"/>
      <c r="CU153" s="81"/>
      <c r="CV153" s="19"/>
      <c r="CW153" s="25"/>
      <c r="CX153" s="19"/>
      <c r="CY153" s="25"/>
      <c r="CZ153" s="19"/>
      <c r="DA153" s="25"/>
      <c r="DB153" s="19"/>
      <c r="DC153" s="25"/>
    </row>
    <row r="154" spans="2:107" hidden="1" x14ac:dyDescent="0.3">
      <c r="C154" s="648">
        <f>EDATE(C153,1)</f>
        <v>45413</v>
      </c>
      <c r="D154" s="649"/>
      <c r="E154" s="649"/>
      <c r="F154" s="649"/>
      <c r="G154" s="649"/>
      <c r="H154" s="649"/>
      <c r="I154" s="649"/>
      <c r="J154" s="19"/>
      <c r="K154" s="25">
        <f t="shared" si="31"/>
        <v>0</v>
      </c>
      <c r="L154" s="19"/>
      <c r="M154" s="25">
        <f t="shared" si="32"/>
        <v>1</v>
      </c>
      <c r="N154" s="19"/>
      <c r="O154" s="25">
        <f>IF(C154&gt;=$C$117,1,IF($C$117&lt;C155,1,0))</f>
        <v>1</v>
      </c>
      <c r="P154" s="19"/>
      <c r="Q154" s="55">
        <f t="shared" si="33"/>
        <v>0</v>
      </c>
      <c r="R154" s="19"/>
      <c r="S154" s="19"/>
      <c r="T154" s="19"/>
      <c r="U154" s="648">
        <f>EDATE(U153,1)</f>
        <v>45778</v>
      </c>
      <c r="V154" s="649"/>
      <c r="W154" s="649"/>
      <c r="X154" s="649"/>
      <c r="Y154" s="649"/>
      <c r="Z154" s="649"/>
      <c r="AA154" s="649"/>
      <c r="AB154" s="19"/>
      <c r="AC154" s="25">
        <f t="shared" si="34"/>
        <v>0</v>
      </c>
      <c r="AD154" s="19"/>
      <c r="AE154" s="25">
        <f t="shared" si="35"/>
        <v>1</v>
      </c>
      <c r="AF154" s="19"/>
      <c r="AG154" s="25">
        <f>IF(U154&gt;=$C$117,1,IF($C$117&lt;U155,1,0))</f>
        <v>1</v>
      </c>
      <c r="AH154" s="19"/>
      <c r="AI154" s="55">
        <f t="shared" si="36"/>
        <v>0</v>
      </c>
      <c r="AJ154" s="19"/>
      <c r="AK154" s="19"/>
      <c r="AL154" s="19"/>
      <c r="AM154" s="648">
        <f t="shared" si="41"/>
        <v>46143</v>
      </c>
      <c r="AN154" s="649"/>
      <c r="AO154" s="649"/>
      <c r="AP154" s="649"/>
      <c r="AQ154" s="649"/>
      <c r="AR154" s="649"/>
      <c r="AS154" s="649"/>
      <c r="AT154" s="19"/>
      <c r="AU154" s="25">
        <f t="shared" si="37"/>
        <v>0</v>
      </c>
      <c r="AV154" s="19"/>
      <c r="AW154" s="25">
        <f t="shared" si="38"/>
        <v>1</v>
      </c>
      <c r="AX154" s="19"/>
      <c r="AY154" s="25">
        <f t="shared" si="39"/>
        <v>1</v>
      </c>
      <c r="AZ154" s="19"/>
      <c r="BA154" s="55">
        <f t="shared" si="40"/>
        <v>0</v>
      </c>
      <c r="BD154" s="20"/>
      <c r="BE154" s="81"/>
      <c r="BF154" s="81"/>
      <c r="BG154" s="81"/>
      <c r="BH154" s="81"/>
      <c r="BI154" s="81"/>
      <c r="BJ154" s="81"/>
      <c r="BK154" s="81"/>
      <c r="BL154" s="19"/>
      <c r="BM154" s="25"/>
      <c r="BN154" s="19"/>
      <c r="BO154" s="25"/>
      <c r="BP154" s="19"/>
      <c r="BQ154" s="25"/>
      <c r="BR154" s="19"/>
      <c r="BS154" s="25"/>
      <c r="BT154" s="19"/>
      <c r="BU154" s="19"/>
      <c r="BV154" s="19"/>
      <c r="BW154" s="81"/>
      <c r="BX154" s="81"/>
      <c r="BY154" s="81"/>
      <c r="BZ154" s="81"/>
      <c r="CA154" s="81"/>
      <c r="CB154" s="81"/>
      <c r="CC154" s="81"/>
      <c r="CD154" s="19"/>
      <c r="CE154" s="25"/>
      <c r="CF154" s="19"/>
      <c r="CG154" s="25"/>
      <c r="CH154" s="19"/>
      <c r="CI154" s="25"/>
      <c r="CJ154" s="19"/>
      <c r="CK154" s="25"/>
      <c r="CL154" s="19"/>
      <c r="CM154" s="19"/>
      <c r="CN154" s="19"/>
      <c r="CO154" s="81"/>
      <c r="CP154" s="81"/>
      <c r="CQ154" s="81"/>
      <c r="CR154" s="81"/>
      <c r="CS154" s="81"/>
      <c r="CT154" s="81"/>
      <c r="CU154" s="81"/>
      <c r="CV154" s="19"/>
      <c r="CW154" s="25"/>
      <c r="CX154" s="19"/>
      <c r="CY154" s="25"/>
      <c r="CZ154" s="19"/>
      <c r="DA154" s="25"/>
      <c r="DB154" s="19"/>
      <c r="DC154" s="25"/>
    </row>
    <row r="155" spans="2:107" hidden="1" x14ac:dyDescent="0.3">
      <c r="C155" s="648">
        <f>EDATE(C154,1)</f>
        <v>45444</v>
      </c>
      <c r="D155" s="649"/>
      <c r="E155" s="649"/>
      <c r="F155" s="649"/>
      <c r="G155" s="649"/>
      <c r="H155" s="649"/>
      <c r="I155" s="649"/>
      <c r="J155" s="19"/>
      <c r="K155" s="25">
        <f t="shared" si="31"/>
        <v>0</v>
      </c>
      <c r="L155" s="19"/>
      <c r="M155" s="25">
        <f t="shared" si="32"/>
        <v>1</v>
      </c>
      <c r="N155" s="19"/>
      <c r="O155" s="25">
        <f>IF(C155&gt;=$C$117,1,IF($C$117&lt;U143,1,0))</f>
        <v>1</v>
      </c>
      <c r="P155" s="19"/>
      <c r="Q155" s="55">
        <f t="shared" si="33"/>
        <v>0</v>
      </c>
      <c r="R155" s="19"/>
      <c r="S155" s="19"/>
      <c r="T155" s="19"/>
      <c r="U155" s="648">
        <f>EDATE(U154,1)</f>
        <v>45809</v>
      </c>
      <c r="V155" s="649"/>
      <c r="W155" s="649"/>
      <c r="X155" s="649"/>
      <c r="Y155" s="649"/>
      <c r="Z155" s="649"/>
      <c r="AA155" s="649"/>
      <c r="AB155" s="19"/>
      <c r="AC155" s="25">
        <f t="shared" si="34"/>
        <v>0</v>
      </c>
      <c r="AD155" s="19"/>
      <c r="AE155" s="25">
        <f t="shared" si="35"/>
        <v>1</v>
      </c>
      <c r="AF155" s="19"/>
      <c r="AG155" s="25">
        <f>IF(U155&gt;=$C$117,1,IF($C$117&lt;AM143,1,0))</f>
        <v>1</v>
      </c>
      <c r="AH155" s="19"/>
      <c r="AI155" s="55">
        <f t="shared" si="36"/>
        <v>0</v>
      </c>
      <c r="AJ155" s="19"/>
      <c r="AK155" s="19"/>
      <c r="AL155" s="19"/>
      <c r="AM155" s="648">
        <f t="shared" si="41"/>
        <v>46174</v>
      </c>
      <c r="AN155" s="649"/>
      <c r="AO155" s="649"/>
      <c r="AP155" s="649"/>
      <c r="AQ155" s="649"/>
      <c r="AR155" s="649"/>
      <c r="AS155" s="649"/>
      <c r="AT155" s="19"/>
      <c r="AU155" s="25">
        <f t="shared" si="37"/>
        <v>0</v>
      </c>
      <c r="AV155" s="19"/>
      <c r="AW155" s="25">
        <f t="shared" si="38"/>
        <v>1</v>
      </c>
      <c r="AX155" s="19"/>
      <c r="AY155" s="25">
        <f t="shared" si="39"/>
        <v>1</v>
      </c>
      <c r="AZ155" s="19"/>
      <c r="BA155" s="55">
        <f t="shared" si="40"/>
        <v>0</v>
      </c>
      <c r="BD155" s="20"/>
      <c r="BE155" s="81"/>
      <c r="BF155" s="81"/>
      <c r="BG155" s="81"/>
      <c r="BH155" s="81"/>
      <c r="BI155" s="81"/>
      <c r="BJ155" s="81"/>
      <c r="BK155" s="81"/>
      <c r="BL155" s="19"/>
      <c r="BM155" s="25"/>
      <c r="BN155" s="19"/>
      <c r="BO155" s="25"/>
      <c r="BP155" s="19"/>
      <c r="BQ155" s="25"/>
      <c r="BR155" s="19"/>
      <c r="BS155" s="25"/>
      <c r="BT155" s="19"/>
      <c r="BU155" s="19"/>
      <c r="BV155" s="19"/>
      <c r="BW155" s="81"/>
      <c r="BX155" s="81"/>
      <c r="BY155" s="81"/>
      <c r="BZ155" s="81"/>
      <c r="CA155" s="81"/>
      <c r="CB155" s="81"/>
      <c r="CC155" s="81"/>
      <c r="CD155" s="19"/>
      <c r="CE155" s="25"/>
      <c r="CF155" s="19"/>
      <c r="CG155" s="25"/>
      <c r="CH155" s="19"/>
      <c r="CI155" s="25"/>
      <c r="CJ155" s="19"/>
      <c r="CK155" s="25"/>
      <c r="CL155" s="19"/>
      <c r="CM155" s="19"/>
      <c r="CN155" s="19"/>
      <c r="CO155" s="81"/>
      <c r="CP155" s="81"/>
      <c r="CQ155" s="81"/>
      <c r="CR155" s="81"/>
      <c r="CS155" s="81"/>
      <c r="CT155" s="81"/>
      <c r="CU155" s="81"/>
      <c r="CV155" s="19"/>
      <c r="CW155" s="25"/>
      <c r="CX155" s="19"/>
      <c r="CY155" s="25"/>
      <c r="CZ155" s="19"/>
      <c r="DA155" s="25"/>
      <c r="DB155" s="19"/>
      <c r="DC155" s="25"/>
    </row>
    <row r="156" spans="2:107" hidden="1" x14ac:dyDescent="0.3">
      <c r="C156" s="62"/>
      <c r="D156" s="19"/>
      <c r="E156" s="56"/>
      <c r="F156" s="56"/>
      <c r="G156" s="56"/>
      <c r="H156" s="19"/>
      <c r="I156" s="19"/>
      <c r="J156" s="19"/>
      <c r="K156" s="56">
        <f>SUM(K150:K155)</f>
        <v>0</v>
      </c>
      <c r="L156" s="19"/>
      <c r="M156" s="19"/>
      <c r="N156" s="19"/>
      <c r="O156" s="19"/>
      <c r="P156" s="19"/>
      <c r="Q156" s="54"/>
      <c r="R156" s="19"/>
      <c r="S156" s="19"/>
      <c r="T156" s="19"/>
      <c r="U156" s="62"/>
      <c r="V156" s="19"/>
      <c r="W156" s="56"/>
      <c r="X156" s="56"/>
      <c r="Y156" s="56"/>
      <c r="Z156" s="19"/>
      <c r="AA156" s="19"/>
      <c r="AB156" s="19"/>
      <c r="AC156" s="56">
        <f>SUM(AC150:AC155)</f>
        <v>0</v>
      </c>
      <c r="AD156" s="19"/>
      <c r="AE156" s="19"/>
      <c r="AF156" s="19"/>
      <c r="AG156" s="19"/>
      <c r="AH156" s="19"/>
      <c r="AI156" s="54"/>
      <c r="AJ156" s="19"/>
      <c r="AK156" s="19"/>
      <c r="AL156" s="19"/>
      <c r="AM156" s="648">
        <f t="shared" si="41"/>
        <v>46204</v>
      </c>
      <c r="AN156" s="649"/>
      <c r="AO156" s="649"/>
      <c r="AP156" s="649"/>
      <c r="AQ156" s="649"/>
      <c r="AR156" s="649"/>
      <c r="AS156" s="649"/>
      <c r="AT156" s="19"/>
      <c r="AU156" s="56">
        <f>SUM(AU150:AU155)</f>
        <v>0</v>
      </c>
      <c r="AV156" s="19"/>
      <c r="AW156" s="19"/>
      <c r="AX156" s="19"/>
      <c r="AY156" s="19"/>
      <c r="AZ156" s="19"/>
      <c r="BA156" s="54"/>
      <c r="BD156" s="20"/>
      <c r="BE156" s="96"/>
      <c r="BF156" s="19"/>
      <c r="BG156" s="56"/>
      <c r="BH156" s="56"/>
      <c r="BI156" s="56"/>
      <c r="BJ156" s="19"/>
      <c r="BK156" s="19"/>
      <c r="BL156" s="19"/>
      <c r="BM156" s="56"/>
      <c r="BN156" s="19"/>
      <c r="BO156" s="19"/>
      <c r="BP156" s="19"/>
      <c r="BQ156" s="19"/>
      <c r="BR156" s="19"/>
      <c r="BS156" s="19"/>
      <c r="BT156" s="19"/>
      <c r="BU156" s="19"/>
      <c r="BV156" s="19"/>
      <c r="BW156" s="96"/>
      <c r="BX156" s="19"/>
      <c r="BY156" s="56"/>
      <c r="BZ156" s="56"/>
      <c r="CA156" s="56"/>
      <c r="CB156" s="19"/>
      <c r="CC156" s="19"/>
      <c r="CD156" s="19"/>
      <c r="CE156" s="56"/>
      <c r="CF156" s="19"/>
      <c r="CG156" s="19"/>
      <c r="CH156" s="19"/>
      <c r="CI156" s="19"/>
      <c r="CJ156" s="19"/>
      <c r="CK156" s="19"/>
      <c r="CL156" s="19"/>
      <c r="CM156" s="19"/>
      <c r="CN156" s="19"/>
      <c r="CO156" s="81"/>
      <c r="CP156" s="81"/>
      <c r="CQ156" s="81"/>
      <c r="CR156" s="81"/>
      <c r="CS156" s="81"/>
      <c r="CT156" s="81"/>
      <c r="CU156" s="81"/>
      <c r="CV156" s="19"/>
      <c r="CW156" s="56"/>
      <c r="CX156" s="19"/>
      <c r="CY156" s="19"/>
      <c r="CZ156" s="19"/>
      <c r="DA156" s="19"/>
      <c r="DB156" s="19"/>
      <c r="DC156" s="19"/>
    </row>
    <row r="157" spans="2:107" hidden="1" x14ac:dyDescent="0.3">
      <c r="C157" s="62"/>
      <c r="D157" s="19"/>
      <c r="E157" s="25"/>
      <c r="F157" s="25"/>
      <c r="G157" s="25"/>
      <c r="H157" s="19"/>
      <c r="I157" s="19"/>
      <c r="J157" s="19"/>
      <c r="K157" s="25">
        <f>K156+K149</f>
        <v>0</v>
      </c>
      <c r="L157" s="19"/>
      <c r="M157" s="19"/>
      <c r="N157" s="19"/>
      <c r="O157" s="19"/>
      <c r="P157" s="19"/>
      <c r="Q157" s="54"/>
      <c r="R157" s="19"/>
      <c r="S157" s="19"/>
      <c r="T157" s="19"/>
      <c r="U157" s="62"/>
      <c r="V157" s="19"/>
      <c r="W157" s="25"/>
      <c r="X157" s="25"/>
      <c r="Y157" s="25"/>
      <c r="Z157" s="19"/>
      <c r="AA157" s="19"/>
      <c r="AB157" s="19"/>
      <c r="AC157" s="25">
        <f>AC156+AC149</f>
        <v>0</v>
      </c>
      <c r="AD157" s="19"/>
      <c r="AE157" s="19"/>
      <c r="AF157" s="19"/>
      <c r="AG157" s="19"/>
      <c r="AH157" s="19"/>
      <c r="AI157" s="54"/>
      <c r="AJ157" s="19"/>
      <c r="AK157" s="19"/>
      <c r="AL157" s="19"/>
      <c r="AM157" s="62"/>
      <c r="AN157" s="19"/>
      <c r="AO157" s="25"/>
      <c r="AP157" s="25"/>
      <c r="AQ157" s="25"/>
      <c r="AR157" s="19"/>
      <c r="AS157" s="19"/>
      <c r="AT157" s="19"/>
      <c r="AU157" s="25">
        <f>AU156+AU149</f>
        <v>0</v>
      </c>
      <c r="AV157" s="19"/>
      <c r="AW157" s="19"/>
      <c r="AX157" s="19"/>
      <c r="AY157" s="19"/>
      <c r="AZ157" s="19"/>
      <c r="BA157" s="54"/>
      <c r="BD157" s="20"/>
      <c r="BE157" s="96"/>
      <c r="BF157" s="19"/>
      <c r="BG157" s="25"/>
      <c r="BH157" s="25"/>
      <c r="BI157" s="25"/>
      <c r="BJ157" s="19"/>
      <c r="BK157" s="19"/>
      <c r="BL157" s="19"/>
      <c r="BM157" s="25"/>
      <c r="BN157" s="19"/>
      <c r="BO157" s="19"/>
      <c r="BP157" s="19"/>
      <c r="BQ157" s="19"/>
      <c r="BR157" s="19"/>
      <c r="BS157" s="19"/>
      <c r="BT157" s="19"/>
      <c r="BU157" s="19"/>
      <c r="BV157" s="19"/>
      <c r="BW157" s="96"/>
      <c r="BX157" s="19"/>
      <c r="BY157" s="25"/>
      <c r="BZ157" s="25"/>
      <c r="CA157" s="25"/>
      <c r="CB157" s="19"/>
      <c r="CC157" s="19"/>
      <c r="CD157" s="19"/>
      <c r="CE157" s="25"/>
      <c r="CF157" s="19"/>
      <c r="CG157" s="19"/>
      <c r="CH157" s="19"/>
      <c r="CI157" s="19"/>
      <c r="CJ157" s="19"/>
      <c r="CK157" s="19"/>
      <c r="CL157" s="19"/>
      <c r="CM157" s="19"/>
      <c r="CN157" s="19"/>
      <c r="CO157" s="96"/>
      <c r="CP157" s="19"/>
      <c r="CQ157" s="25"/>
      <c r="CR157" s="25"/>
      <c r="CS157" s="25"/>
      <c r="CT157" s="19"/>
      <c r="CU157" s="19"/>
      <c r="CV157" s="19"/>
      <c r="CW157" s="25"/>
      <c r="CX157" s="19"/>
      <c r="CY157" s="19"/>
      <c r="CZ157" s="19"/>
      <c r="DA157" s="19"/>
      <c r="DB157" s="19"/>
      <c r="DC157" s="19"/>
    </row>
    <row r="158" spans="2:107" hidden="1" x14ac:dyDescent="0.3">
      <c r="C158" s="59"/>
      <c r="D158" s="60"/>
      <c r="E158" s="60"/>
      <c r="F158" s="60"/>
      <c r="G158" s="60"/>
      <c r="H158" s="60"/>
      <c r="I158" s="60"/>
      <c r="J158" s="60"/>
      <c r="K158" s="60"/>
      <c r="L158" s="60"/>
      <c r="M158" s="60"/>
      <c r="N158" s="60"/>
      <c r="O158" s="60"/>
      <c r="P158" s="60"/>
      <c r="Q158" s="61"/>
      <c r="R158" s="19"/>
      <c r="S158" s="19"/>
      <c r="T158" s="19"/>
      <c r="U158" s="59"/>
      <c r="V158" s="60"/>
      <c r="W158" s="60"/>
      <c r="X158" s="60"/>
      <c r="Y158" s="60"/>
      <c r="Z158" s="60"/>
      <c r="AA158" s="60"/>
      <c r="AB158" s="60"/>
      <c r="AC158" s="60"/>
      <c r="AD158" s="60"/>
      <c r="AE158" s="60"/>
      <c r="AF158" s="60"/>
      <c r="AG158" s="60"/>
      <c r="AH158" s="60"/>
      <c r="AI158" s="61"/>
      <c r="AJ158" s="19"/>
      <c r="AK158" s="19"/>
      <c r="AL158" s="19"/>
      <c r="AM158" s="59"/>
      <c r="AN158" s="60"/>
      <c r="AO158" s="60"/>
      <c r="AP158" s="60"/>
      <c r="AQ158" s="60"/>
      <c r="AR158" s="60"/>
      <c r="AS158" s="60"/>
      <c r="AT158" s="60"/>
      <c r="AU158" s="60"/>
      <c r="AV158" s="60"/>
      <c r="AW158" s="60"/>
      <c r="AX158" s="60"/>
      <c r="AY158" s="60"/>
      <c r="AZ158" s="60"/>
      <c r="BA158" s="61"/>
      <c r="BD158" s="20"/>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row>
    <row r="159" spans="2:107" hidden="1" x14ac:dyDescent="0.3">
      <c r="BD159" s="20"/>
    </row>
    <row r="160" spans="2:107" ht="3.75" hidden="1" customHeight="1" x14ac:dyDescent="0.3">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3:89" hidden="1" x14ac:dyDescent="0.3">
      <c r="O161" s="50"/>
      <c r="P161" s="50"/>
      <c r="Q161" s="50"/>
      <c r="R161" s="50"/>
      <c r="S161" s="50"/>
      <c r="T161" s="50"/>
      <c r="U161" s="50"/>
      <c r="V161" s="50"/>
      <c r="W161" s="50"/>
      <c r="X161" s="50"/>
      <c r="Y161" s="50"/>
      <c r="Z161" s="50"/>
      <c r="AA161" s="50"/>
      <c r="AB161" s="50"/>
      <c r="AC161" s="50"/>
      <c r="AD161" s="50"/>
      <c r="AE161" s="50"/>
      <c r="AF161" s="50"/>
      <c r="AG161" s="50"/>
      <c r="AH161" s="50"/>
      <c r="AI161" s="50"/>
      <c r="BD161" s="20"/>
      <c r="BQ161" s="50"/>
      <c r="BR161" s="50"/>
      <c r="BS161" s="50"/>
      <c r="BT161" s="50"/>
      <c r="BU161" s="50"/>
      <c r="BV161" s="50"/>
      <c r="BW161" s="50"/>
      <c r="BX161" s="50"/>
      <c r="BY161" s="50"/>
      <c r="BZ161" s="50"/>
      <c r="CA161" s="50"/>
      <c r="CB161" s="50"/>
      <c r="CC161" s="50"/>
      <c r="CD161" s="50"/>
      <c r="CE161" s="50"/>
      <c r="CF161" s="50"/>
      <c r="CG161" s="50"/>
      <c r="CH161" s="50"/>
      <c r="CI161" s="50"/>
      <c r="CJ161" s="50"/>
      <c r="CK161" s="50"/>
    </row>
    <row r="162" spans="3:89" hidden="1" x14ac:dyDescent="0.3">
      <c r="C162" s="19" t="s">
        <v>82</v>
      </c>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44"/>
      <c r="AE162" s="44"/>
      <c r="AF162" s="44"/>
      <c r="AG162" s="44"/>
      <c r="AH162" s="50"/>
      <c r="AI162" s="50"/>
      <c r="BD162" s="20"/>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44"/>
      <c r="CG162" s="44"/>
      <c r="CH162" s="44"/>
      <c r="CI162" s="44"/>
      <c r="CJ162" s="50"/>
      <c r="CK162" s="50"/>
    </row>
    <row r="163" spans="3:89" hidden="1" x14ac:dyDescent="0.3">
      <c r="C163" s="19"/>
      <c r="D163" s="19"/>
      <c r="E163" s="19"/>
      <c r="F163" s="19"/>
      <c r="G163" s="19"/>
      <c r="H163" s="19"/>
      <c r="I163" s="19"/>
      <c r="J163" s="19"/>
      <c r="K163" s="19"/>
      <c r="L163" s="19"/>
      <c r="M163" s="24"/>
      <c r="N163" s="19"/>
      <c r="O163" s="63"/>
      <c r="P163" s="63"/>
      <c r="Q163" s="63"/>
      <c r="R163" s="63"/>
      <c r="S163" s="63"/>
      <c r="T163" s="63"/>
      <c r="U163" s="63"/>
      <c r="V163" s="63"/>
      <c r="W163" s="63"/>
      <c r="X163" s="19"/>
      <c r="Y163" s="19"/>
      <c r="Z163" s="19"/>
      <c r="AA163" s="19"/>
      <c r="AB163" s="19"/>
      <c r="AC163" s="19"/>
      <c r="AD163" s="44"/>
      <c r="AE163" s="44"/>
      <c r="AF163" s="44"/>
      <c r="AG163" s="44"/>
      <c r="AH163" s="50"/>
      <c r="AI163" s="50"/>
      <c r="BD163" s="20"/>
      <c r="BE163" s="19"/>
      <c r="BF163" s="19"/>
      <c r="BG163" s="19"/>
      <c r="BH163" s="19"/>
      <c r="BI163" s="19"/>
      <c r="BJ163" s="19"/>
      <c r="BK163" s="19"/>
      <c r="BL163" s="19"/>
      <c r="BM163" s="19"/>
      <c r="BN163" s="19"/>
      <c r="BO163" s="24"/>
      <c r="BP163" s="19"/>
      <c r="BQ163" s="63"/>
      <c r="BR163" s="63"/>
      <c r="BS163" s="63"/>
      <c r="BT163" s="63"/>
      <c r="BU163" s="63"/>
      <c r="BV163" s="63"/>
      <c r="BW163" s="63"/>
      <c r="BX163" s="63"/>
      <c r="BY163" s="63"/>
      <c r="BZ163" s="19"/>
      <c r="CA163" s="19"/>
      <c r="CB163" s="19"/>
      <c r="CC163" s="19"/>
      <c r="CD163" s="19"/>
      <c r="CE163" s="19"/>
      <c r="CF163" s="44"/>
      <c r="CG163" s="44"/>
      <c r="CH163" s="44"/>
      <c r="CI163" s="44"/>
      <c r="CJ163" s="50"/>
      <c r="CK163" s="50"/>
    </row>
    <row r="164" spans="3:89" hidden="1" x14ac:dyDescent="0.3">
      <c r="C164" s="64" t="s">
        <v>83</v>
      </c>
      <c r="D164" s="19"/>
      <c r="E164" s="19"/>
      <c r="F164" s="19"/>
      <c r="G164" s="19"/>
      <c r="H164" s="19"/>
      <c r="I164" s="19"/>
      <c r="J164" s="19"/>
      <c r="K164" s="30" t="s">
        <v>84</v>
      </c>
      <c r="L164" s="19"/>
      <c r="M164" s="21" t="str">
        <f>""</f>
        <v/>
      </c>
      <c r="N164" s="19"/>
      <c r="O164" s="30" t="s">
        <v>85</v>
      </c>
      <c r="P164" s="19"/>
      <c r="Q164" s="19"/>
      <c r="R164" s="19"/>
      <c r="S164" s="19"/>
      <c r="T164" s="19"/>
      <c r="U164" s="19"/>
      <c r="V164" s="19"/>
      <c r="W164" s="19"/>
      <c r="X164" s="19"/>
      <c r="Y164" s="19"/>
      <c r="Z164" s="19"/>
      <c r="AA164" s="19"/>
      <c r="AB164" s="19"/>
      <c r="AC164" s="19"/>
      <c r="AD164" s="44"/>
      <c r="AE164" s="44"/>
      <c r="AF164" s="44"/>
      <c r="AG164" s="44"/>
      <c r="AH164" s="50"/>
      <c r="AI164" s="50"/>
      <c r="BD164" s="20"/>
      <c r="BE164" s="64"/>
      <c r="BF164" s="19"/>
      <c r="BG164" s="19"/>
      <c r="BH164" s="19"/>
      <c r="BI164" s="19"/>
      <c r="BJ164" s="19"/>
      <c r="BK164" s="19"/>
      <c r="BL164" s="19"/>
      <c r="BM164" s="30"/>
      <c r="BN164" s="19"/>
      <c r="BP164" s="19"/>
      <c r="BQ164" s="30"/>
      <c r="BR164" s="19"/>
      <c r="BS164" s="19"/>
      <c r="BT164" s="19"/>
      <c r="BU164" s="19"/>
      <c r="BV164" s="19"/>
      <c r="BW164" s="19"/>
      <c r="BX164" s="19"/>
      <c r="BY164" s="19"/>
      <c r="BZ164" s="19"/>
      <c r="CA164" s="19"/>
      <c r="CB164" s="19"/>
      <c r="CC164" s="19"/>
      <c r="CD164" s="19"/>
      <c r="CE164" s="19"/>
      <c r="CF164" s="44"/>
      <c r="CG164" s="44"/>
      <c r="CH164" s="44"/>
      <c r="CI164" s="44"/>
      <c r="CJ164" s="50"/>
      <c r="CK164" s="50"/>
    </row>
    <row r="165" spans="3:89" hidden="1" x14ac:dyDescent="0.3">
      <c r="C165" s="19" t="s">
        <v>86</v>
      </c>
      <c r="D165" s="19"/>
      <c r="E165" s="19"/>
      <c r="F165" s="19"/>
      <c r="G165" s="24"/>
      <c r="H165" s="19"/>
      <c r="I165" s="65"/>
      <c r="J165" s="65"/>
      <c r="K165" s="18" t="s">
        <v>87</v>
      </c>
      <c r="L165" s="19"/>
      <c r="M165" s="21" t="str">
        <f>""</f>
        <v/>
      </c>
      <c r="N165" s="19"/>
      <c r="O165" s="19" t="s">
        <v>88</v>
      </c>
      <c r="P165" s="19">
        <v>28000</v>
      </c>
      <c r="Q165" s="19">
        <f>P165/9</f>
        <v>3111.1111111111113</v>
      </c>
      <c r="R165" s="19"/>
      <c r="S165" s="19"/>
      <c r="T165" s="19"/>
      <c r="U165" s="19"/>
      <c r="V165" s="19"/>
      <c r="W165" s="19"/>
      <c r="X165" s="19"/>
      <c r="Y165" s="19"/>
      <c r="Z165" s="19"/>
      <c r="AA165" s="19"/>
      <c r="AB165" s="19"/>
      <c r="AC165" s="19"/>
      <c r="AD165" s="44"/>
      <c r="AE165" s="44"/>
      <c r="AF165" s="44"/>
      <c r="AG165" s="44"/>
      <c r="AH165" s="50"/>
      <c r="AI165" s="50"/>
      <c r="BD165" s="20"/>
      <c r="BE165" s="19"/>
      <c r="BF165" s="19"/>
      <c r="BG165" s="19"/>
      <c r="BH165" s="19"/>
      <c r="BI165" s="24"/>
      <c r="BJ165" s="19"/>
      <c r="BK165" s="65"/>
      <c r="BL165" s="65"/>
      <c r="BM165" s="18"/>
      <c r="BN165" s="19"/>
      <c r="BP165" s="19"/>
      <c r="BQ165" s="19"/>
      <c r="BR165" s="19"/>
      <c r="BS165" s="19"/>
      <c r="BT165" s="19"/>
      <c r="BU165" s="19"/>
      <c r="BV165" s="19"/>
      <c r="BW165" s="19"/>
      <c r="BX165" s="19"/>
      <c r="BY165" s="19"/>
      <c r="BZ165" s="19"/>
      <c r="CA165" s="19"/>
      <c r="CB165" s="19"/>
      <c r="CC165" s="19"/>
      <c r="CD165" s="19"/>
      <c r="CE165" s="19"/>
      <c r="CF165" s="44"/>
      <c r="CG165" s="44"/>
      <c r="CH165" s="44"/>
      <c r="CI165" s="44"/>
      <c r="CJ165" s="50"/>
      <c r="CK165" s="50"/>
    </row>
    <row r="166" spans="3:89" hidden="1" x14ac:dyDescent="0.3">
      <c r="C166" s="19" t="s">
        <v>89</v>
      </c>
      <c r="D166" s="19"/>
      <c r="E166" s="19"/>
      <c r="F166" s="19"/>
      <c r="G166" s="24"/>
      <c r="H166" s="19"/>
      <c r="I166" s="65"/>
      <c r="J166" s="65"/>
      <c r="K166" s="18" t="s">
        <v>90</v>
      </c>
      <c r="L166" s="19"/>
      <c r="M166" s="21" t="str">
        <f>""</f>
        <v/>
      </c>
      <c r="N166" s="19"/>
      <c r="O166" s="19" t="s">
        <v>91</v>
      </c>
      <c r="P166" s="19">
        <v>22500</v>
      </c>
      <c r="Q166" s="19">
        <f>P166/9</f>
        <v>2500</v>
      </c>
      <c r="R166" s="19"/>
      <c r="S166" s="19"/>
      <c r="T166" s="19"/>
      <c r="U166" s="19"/>
      <c r="V166" s="19"/>
      <c r="W166" s="19"/>
      <c r="X166" s="19"/>
      <c r="Y166" s="19"/>
      <c r="Z166" s="19"/>
      <c r="AA166" s="19"/>
      <c r="AB166" s="19"/>
      <c r="AC166" s="19"/>
      <c r="AD166" s="44"/>
      <c r="AE166" s="44"/>
      <c r="AF166" s="44"/>
      <c r="AG166" s="44"/>
      <c r="AH166" s="50"/>
      <c r="AI166" s="50"/>
      <c r="BD166" s="20"/>
      <c r="BE166" s="19"/>
      <c r="BF166" s="19"/>
      <c r="BG166" s="19"/>
      <c r="BH166" s="19"/>
      <c r="BI166" s="24"/>
      <c r="BJ166" s="19"/>
      <c r="BK166" s="65"/>
      <c r="BL166" s="65"/>
      <c r="BM166" s="18"/>
      <c r="BN166" s="19"/>
      <c r="BP166" s="19"/>
      <c r="BQ166" s="19"/>
      <c r="BR166" s="19"/>
      <c r="BS166" s="19"/>
      <c r="BT166" s="19"/>
      <c r="BU166" s="19"/>
      <c r="BV166" s="19"/>
      <c r="BW166" s="19"/>
      <c r="BX166" s="19"/>
      <c r="BY166" s="19"/>
      <c r="BZ166" s="19"/>
      <c r="CA166" s="19"/>
      <c r="CB166" s="19"/>
      <c r="CC166" s="19"/>
      <c r="CD166" s="19"/>
      <c r="CE166" s="19"/>
      <c r="CF166" s="44"/>
      <c r="CG166" s="44"/>
      <c r="CH166" s="44"/>
      <c r="CI166" s="44"/>
      <c r="CJ166" s="50"/>
      <c r="CK166" s="50"/>
    </row>
    <row r="167" spans="3:89" hidden="1" x14ac:dyDescent="0.3">
      <c r="C167" s="19" t="s">
        <v>92</v>
      </c>
      <c r="D167" s="19"/>
      <c r="E167" s="19"/>
      <c r="F167" s="19"/>
      <c r="G167" s="24"/>
      <c r="H167" s="19"/>
      <c r="I167" s="65"/>
      <c r="J167" s="65"/>
      <c r="K167" s="18" t="s">
        <v>93</v>
      </c>
      <c r="L167" s="19"/>
      <c r="M167" s="21" t="str">
        <f>""</f>
        <v/>
      </c>
      <c r="N167" s="19"/>
      <c r="O167" s="19">
        <v>0</v>
      </c>
      <c r="P167" s="19">
        <v>0</v>
      </c>
      <c r="Q167" s="19">
        <v>0</v>
      </c>
      <c r="R167" s="19"/>
      <c r="S167" s="19"/>
      <c r="T167" s="19"/>
      <c r="U167" s="19"/>
      <c r="V167" s="19"/>
      <c r="W167" s="19"/>
      <c r="X167" s="19"/>
      <c r="Y167" s="19"/>
      <c r="Z167" s="19"/>
      <c r="AA167" s="19"/>
      <c r="AB167" s="19"/>
      <c r="AC167" s="19"/>
      <c r="AD167" s="44"/>
      <c r="AE167" s="44"/>
      <c r="AF167" s="44"/>
      <c r="AG167" s="44"/>
      <c r="AH167" s="50"/>
      <c r="AI167" s="50"/>
      <c r="BD167" s="20"/>
      <c r="BE167" s="19"/>
      <c r="BF167" s="19"/>
      <c r="BG167" s="19"/>
      <c r="BH167" s="19"/>
      <c r="BI167" s="24"/>
      <c r="BJ167" s="19"/>
      <c r="BK167" s="65"/>
      <c r="BL167" s="65"/>
      <c r="BM167" s="18"/>
      <c r="BN167" s="19"/>
      <c r="BP167" s="19"/>
      <c r="BQ167" s="19"/>
      <c r="BR167" s="19"/>
      <c r="BS167" s="19"/>
      <c r="BT167" s="19"/>
      <c r="BU167" s="19"/>
      <c r="BV167" s="19"/>
      <c r="BW167" s="19"/>
      <c r="BX167" s="19"/>
      <c r="BY167" s="19"/>
      <c r="BZ167" s="19"/>
      <c r="CA167" s="19"/>
      <c r="CB167" s="19"/>
      <c r="CC167" s="19"/>
      <c r="CD167" s="19"/>
      <c r="CE167" s="19"/>
      <c r="CF167" s="44"/>
      <c r="CG167" s="44"/>
      <c r="CH167" s="44"/>
      <c r="CI167" s="44"/>
      <c r="CJ167" s="50"/>
      <c r="CK167" s="50"/>
    </row>
    <row r="168" spans="3:89" hidden="1" x14ac:dyDescent="0.3">
      <c r="C168" s="19" t="s">
        <v>94</v>
      </c>
      <c r="D168" s="19"/>
      <c r="E168" s="19"/>
      <c r="F168" s="19"/>
      <c r="G168" s="24"/>
      <c r="H168" s="19"/>
      <c r="I168" s="65"/>
      <c r="J168" s="65"/>
      <c r="K168" s="19" t="s">
        <v>95</v>
      </c>
      <c r="L168" s="19"/>
      <c r="M168" s="21" t="str">
        <f>""</f>
        <v/>
      </c>
      <c r="N168" s="19"/>
      <c r="O168" s="19"/>
      <c r="P168" s="19"/>
      <c r="Q168" s="19"/>
      <c r="R168" s="19"/>
      <c r="S168" s="19"/>
      <c r="T168" s="19"/>
      <c r="U168" s="19"/>
      <c r="V168" s="19"/>
      <c r="W168" s="19"/>
      <c r="X168" s="19"/>
      <c r="Y168" s="19"/>
      <c r="Z168" s="19"/>
      <c r="AA168" s="19"/>
      <c r="AB168" s="19"/>
      <c r="AC168" s="19"/>
      <c r="AD168" s="44"/>
      <c r="AE168" s="44"/>
      <c r="AF168" s="44"/>
      <c r="AG168" s="44"/>
      <c r="AH168" s="50"/>
      <c r="AI168" s="50"/>
      <c r="BD168" s="20"/>
      <c r="BE168" s="19"/>
      <c r="BF168" s="19"/>
      <c r="BG168" s="19"/>
      <c r="BH168" s="19"/>
      <c r="BI168" s="24"/>
      <c r="BJ168" s="19"/>
      <c r="BK168" s="65"/>
      <c r="BL168" s="65"/>
      <c r="BM168" s="19"/>
      <c r="BN168" s="19"/>
      <c r="BP168" s="19"/>
      <c r="BQ168" s="19"/>
      <c r="BR168" s="19"/>
      <c r="BS168" s="19"/>
      <c r="BT168" s="19"/>
      <c r="BU168" s="19"/>
      <c r="BV168" s="19"/>
      <c r="BW168" s="19"/>
      <c r="BX168" s="19"/>
      <c r="BY168" s="19"/>
      <c r="BZ168" s="19"/>
      <c r="CA168" s="19"/>
      <c r="CB168" s="19"/>
      <c r="CC168" s="19"/>
      <c r="CD168" s="19"/>
      <c r="CE168" s="19"/>
      <c r="CF168" s="44"/>
      <c r="CG168" s="44"/>
      <c r="CH168" s="44"/>
      <c r="CI168" s="44"/>
      <c r="CJ168" s="50"/>
      <c r="CK168" s="50"/>
    </row>
    <row r="169" spans="3:89" hidden="1" x14ac:dyDescent="0.3">
      <c r="C169" s="19" t="s">
        <v>96</v>
      </c>
      <c r="D169" s="19"/>
      <c r="E169" s="19"/>
      <c r="F169" s="19"/>
      <c r="G169" s="19"/>
      <c r="H169" s="19"/>
      <c r="I169" s="19"/>
      <c r="J169" s="19"/>
      <c r="K169" s="18" t="s">
        <v>97</v>
      </c>
      <c r="L169" s="19"/>
      <c r="M169" s="21" t="str">
        <f>""</f>
        <v/>
      </c>
      <c r="N169" s="19"/>
      <c r="O169" s="19" t="s">
        <v>98</v>
      </c>
      <c r="P169" s="19"/>
      <c r="Q169" s="19"/>
      <c r="R169" s="19"/>
      <c r="S169" s="19"/>
      <c r="T169" s="19"/>
      <c r="U169" s="19"/>
      <c r="V169" s="19"/>
      <c r="W169" s="19"/>
      <c r="X169" s="19"/>
      <c r="Y169" s="19"/>
      <c r="Z169" s="19"/>
      <c r="AA169" s="19"/>
      <c r="AB169" s="19"/>
      <c r="AC169" s="19"/>
      <c r="AD169" s="44"/>
      <c r="AE169" s="44"/>
      <c r="AF169" s="44"/>
      <c r="AG169" s="44"/>
      <c r="AH169" s="50"/>
      <c r="AI169" s="50"/>
      <c r="BD169" s="20"/>
      <c r="BE169" s="19"/>
      <c r="BF169" s="19"/>
      <c r="BG169" s="19"/>
      <c r="BH169" s="19"/>
      <c r="BI169" s="19"/>
      <c r="BJ169" s="19"/>
      <c r="BK169" s="19"/>
      <c r="BL169" s="19"/>
      <c r="BM169" s="18"/>
      <c r="BN169" s="19"/>
      <c r="BP169" s="19"/>
      <c r="BQ169" s="19"/>
      <c r="BR169" s="19"/>
      <c r="BS169" s="19"/>
      <c r="BT169" s="19"/>
      <c r="BU169" s="19"/>
      <c r="BV169" s="19"/>
      <c r="BW169" s="19"/>
      <c r="BX169" s="19"/>
      <c r="BY169" s="19"/>
      <c r="BZ169" s="19"/>
      <c r="CA169" s="19"/>
      <c r="CB169" s="19"/>
      <c r="CC169" s="19"/>
      <c r="CD169" s="19"/>
      <c r="CE169" s="19"/>
      <c r="CF169" s="44"/>
      <c r="CG169" s="44"/>
      <c r="CH169" s="44"/>
      <c r="CI169" s="44"/>
      <c r="CJ169" s="50"/>
      <c r="CK169" s="50"/>
    </row>
    <row r="170" spans="3:89" hidden="1" x14ac:dyDescent="0.3">
      <c r="C170" s="19" t="s">
        <v>99</v>
      </c>
      <c r="D170" s="19"/>
      <c r="E170" s="19"/>
      <c r="F170" s="19"/>
      <c r="G170" s="19"/>
      <c r="H170" s="19"/>
      <c r="I170" s="19"/>
      <c r="J170" s="19"/>
      <c r="K170" s="18" t="s">
        <v>1057</v>
      </c>
      <c r="L170" s="19"/>
      <c r="M170" s="21" t="str">
        <f>""</f>
        <v/>
      </c>
      <c r="N170" s="19"/>
      <c r="O170" s="19" t="s">
        <v>98</v>
      </c>
      <c r="P170" s="19">
        <f>7.25*20*32</f>
        <v>4640</v>
      </c>
      <c r="Q170" s="19">
        <f>P170/9</f>
        <v>515.55555555555554</v>
      </c>
      <c r="R170" s="19"/>
      <c r="S170" s="19"/>
      <c r="T170" s="19"/>
      <c r="U170" s="19"/>
      <c r="V170" s="19"/>
      <c r="W170" s="19"/>
      <c r="X170" s="19"/>
      <c r="Y170" s="19"/>
      <c r="Z170" s="19"/>
      <c r="AA170" s="19"/>
      <c r="AB170" s="19"/>
      <c r="AC170" s="19"/>
      <c r="AD170" s="44"/>
      <c r="AE170" s="44"/>
      <c r="AF170" s="44"/>
      <c r="AG170" s="44"/>
      <c r="AH170" s="50"/>
      <c r="AI170" s="50"/>
      <c r="BD170" s="20"/>
      <c r="BE170" s="19"/>
      <c r="BF170" s="19"/>
      <c r="BG170" s="19"/>
      <c r="BH170" s="19"/>
      <c r="BI170" s="19"/>
      <c r="BJ170" s="19"/>
      <c r="BK170" s="19"/>
      <c r="BL170" s="19"/>
      <c r="BM170" s="19"/>
      <c r="BN170" s="19"/>
      <c r="BP170" s="19"/>
      <c r="BQ170" s="19"/>
      <c r="BR170" s="19"/>
      <c r="BS170" s="19"/>
      <c r="BT170" s="19"/>
      <c r="BU170" s="19"/>
      <c r="BV170" s="19"/>
      <c r="BW170" s="19"/>
      <c r="BX170" s="19"/>
      <c r="BY170" s="19"/>
      <c r="BZ170" s="19"/>
      <c r="CA170" s="19"/>
      <c r="CB170" s="19"/>
      <c r="CC170" s="19"/>
      <c r="CD170" s="19"/>
      <c r="CE170" s="19"/>
      <c r="CF170" s="44"/>
      <c r="CG170" s="44"/>
      <c r="CH170" s="44"/>
      <c r="CI170" s="44"/>
      <c r="CJ170" s="50"/>
      <c r="CK170" s="50"/>
    </row>
    <row r="171" spans="3:89" hidden="1" x14ac:dyDescent="0.3">
      <c r="C171" s="19"/>
      <c r="D171" s="19"/>
      <c r="E171" s="19"/>
      <c r="F171" s="19"/>
      <c r="G171" s="19"/>
      <c r="H171" s="19"/>
      <c r="I171" s="19"/>
      <c r="J171" s="19"/>
      <c r="K171" s="18" t="s">
        <v>1058</v>
      </c>
      <c r="L171" s="19"/>
      <c r="M171" s="21" t="str">
        <f>""</f>
        <v/>
      </c>
      <c r="N171" s="19"/>
      <c r="O171" s="19"/>
      <c r="P171" s="19"/>
      <c r="Q171" s="19"/>
      <c r="R171" s="19"/>
      <c r="S171" s="19"/>
      <c r="T171" s="19"/>
      <c r="U171" s="19"/>
      <c r="V171" s="19"/>
      <c r="W171" s="19"/>
      <c r="X171" s="19"/>
      <c r="Y171" s="19"/>
      <c r="Z171" s="19"/>
      <c r="AA171" s="19"/>
      <c r="AB171" s="19"/>
      <c r="AC171" s="19"/>
      <c r="AD171" s="44"/>
      <c r="AE171" s="44"/>
      <c r="AF171" s="44"/>
      <c r="AG171" s="44"/>
      <c r="AH171" s="50"/>
      <c r="AI171" s="50"/>
      <c r="BD171" s="20"/>
      <c r="BE171" s="19"/>
      <c r="BF171" s="19"/>
      <c r="BG171" s="19"/>
      <c r="BH171" s="19"/>
      <c r="BI171" s="19"/>
      <c r="BJ171" s="19"/>
      <c r="BK171" s="19"/>
      <c r="BL171" s="19"/>
      <c r="BM171" s="19"/>
      <c r="BN171" s="19"/>
      <c r="BP171" s="19"/>
      <c r="BQ171" s="19"/>
      <c r="BR171" s="19"/>
      <c r="BS171" s="19"/>
      <c r="BT171" s="19"/>
      <c r="BU171" s="19"/>
      <c r="BV171" s="19"/>
      <c r="BW171" s="19"/>
      <c r="BX171" s="19"/>
      <c r="BY171" s="19"/>
      <c r="BZ171" s="19"/>
      <c r="CA171" s="19"/>
      <c r="CB171" s="19"/>
      <c r="CC171" s="19"/>
      <c r="CD171" s="19"/>
      <c r="CE171" s="19"/>
      <c r="CF171" s="44"/>
      <c r="CG171" s="44"/>
      <c r="CH171" s="44"/>
      <c r="CI171" s="44"/>
      <c r="CJ171" s="50"/>
      <c r="CK171" s="50"/>
    </row>
    <row r="172" spans="3:89" hidden="1" x14ac:dyDescent="0.3">
      <c r="C172" s="19"/>
      <c r="D172" s="19"/>
      <c r="E172" s="19"/>
      <c r="F172" s="19"/>
      <c r="G172" s="19"/>
      <c r="H172" s="19"/>
      <c r="I172" s="19"/>
      <c r="J172" s="19"/>
      <c r="K172" s="18" t="s">
        <v>100</v>
      </c>
      <c r="L172" s="19"/>
      <c r="M172" s="21" t="str">
        <f>""</f>
        <v/>
      </c>
      <c r="N172" s="19"/>
      <c r="O172" s="19"/>
      <c r="P172" s="19"/>
      <c r="Q172" s="19"/>
      <c r="R172" s="19"/>
      <c r="S172" s="19"/>
      <c r="T172" s="19"/>
      <c r="U172" s="19"/>
      <c r="V172" s="19"/>
      <c r="W172" s="19"/>
      <c r="X172" s="19"/>
      <c r="Y172" s="19"/>
      <c r="Z172" s="19"/>
      <c r="AA172" s="19"/>
      <c r="AB172" s="19"/>
      <c r="AC172" s="19"/>
      <c r="AD172" s="44"/>
      <c r="AE172" s="44"/>
      <c r="AF172" s="44"/>
      <c r="AG172" s="44"/>
      <c r="AH172" s="50"/>
      <c r="AI172" s="50"/>
      <c r="BD172" s="20"/>
      <c r="BE172" s="19"/>
      <c r="BF172" s="19"/>
      <c r="BG172" s="19"/>
      <c r="BH172" s="19"/>
      <c r="BI172" s="19"/>
      <c r="BJ172" s="19"/>
      <c r="BK172" s="19"/>
      <c r="BL172" s="19"/>
      <c r="BM172" s="19"/>
      <c r="BN172" s="19"/>
      <c r="BP172" s="19"/>
      <c r="BQ172" s="19"/>
      <c r="BR172" s="19"/>
      <c r="BS172" s="19"/>
      <c r="BT172" s="19"/>
      <c r="BU172" s="19"/>
      <c r="BV172" s="19"/>
      <c r="BW172" s="19"/>
      <c r="BX172" s="19"/>
      <c r="BY172" s="19"/>
      <c r="BZ172" s="19"/>
      <c r="CA172" s="19"/>
      <c r="CB172" s="19"/>
      <c r="CC172" s="19"/>
      <c r="CD172" s="19"/>
      <c r="CE172" s="19"/>
      <c r="CF172" s="44"/>
      <c r="CG172" s="44"/>
      <c r="CH172" s="44"/>
      <c r="CI172" s="44"/>
      <c r="CJ172" s="50"/>
      <c r="CK172" s="50"/>
    </row>
    <row r="173" spans="3:89" hidden="1" x14ac:dyDescent="0.3">
      <c r="C173" s="19"/>
      <c r="D173" s="19"/>
      <c r="E173" s="19"/>
      <c r="F173" s="19"/>
      <c r="G173" s="19"/>
      <c r="H173" s="19"/>
      <c r="I173" s="19"/>
      <c r="J173" s="19"/>
      <c r="K173" s="18" t="s">
        <v>1059</v>
      </c>
      <c r="L173" s="19"/>
      <c r="M173" s="21" t="str">
        <f>""</f>
        <v/>
      </c>
      <c r="N173" s="19"/>
      <c r="O173" s="19"/>
      <c r="P173" s="19"/>
      <c r="Q173" s="19"/>
      <c r="R173" s="19"/>
      <c r="S173" s="19"/>
      <c r="T173" s="19"/>
      <c r="U173" s="19"/>
      <c r="V173" s="19"/>
      <c r="W173" s="19"/>
      <c r="X173" s="19"/>
      <c r="Y173" s="19"/>
      <c r="Z173" s="19"/>
      <c r="AA173" s="19"/>
      <c r="AB173" s="19"/>
      <c r="AC173" s="19"/>
      <c r="AD173" s="44"/>
      <c r="AE173" s="44"/>
      <c r="AF173" s="44"/>
      <c r="AG173" s="44"/>
      <c r="AH173" s="50"/>
      <c r="AI173" s="50"/>
      <c r="BD173" s="20"/>
      <c r="BE173" s="19"/>
      <c r="BF173" s="19"/>
      <c r="BG173" s="19"/>
      <c r="BH173" s="19"/>
      <c r="BI173" s="19"/>
      <c r="BJ173" s="19"/>
      <c r="BK173" s="19"/>
      <c r="BL173" s="19"/>
      <c r="BM173" s="18"/>
      <c r="BN173" s="19"/>
      <c r="BP173" s="19"/>
      <c r="BQ173" s="19"/>
      <c r="BR173" s="19"/>
      <c r="BS173" s="19"/>
      <c r="BT173" s="19"/>
      <c r="BU173" s="19"/>
      <c r="BV173" s="19"/>
      <c r="BW173" s="19"/>
      <c r="BX173" s="19"/>
      <c r="BY173" s="19"/>
      <c r="BZ173" s="19"/>
      <c r="CA173" s="19"/>
      <c r="CB173" s="19"/>
      <c r="CC173" s="19"/>
      <c r="CD173" s="19"/>
      <c r="CE173" s="19"/>
      <c r="CF173" s="44"/>
      <c r="CG173" s="44"/>
      <c r="CH173" s="44"/>
      <c r="CI173" s="44"/>
      <c r="CJ173" s="50"/>
      <c r="CK173" s="50"/>
    </row>
    <row r="174" spans="3:89" hidden="1" x14ac:dyDescent="0.3">
      <c r="C174" s="19"/>
      <c r="D174" s="19"/>
      <c r="E174" s="19"/>
      <c r="F174" s="19"/>
      <c r="G174" s="19"/>
      <c r="H174" s="19"/>
      <c r="I174" s="19"/>
      <c r="J174" s="19"/>
      <c r="K174" s="18" t="s">
        <v>101</v>
      </c>
      <c r="L174" s="19"/>
      <c r="M174" s="21" t="str">
        <f>""</f>
        <v/>
      </c>
      <c r="N174" s="19"/>
      <c r="O174" s="19"/>
      <c r="P174" s="19"/>
      <c r="Q174" s="19"/>
      <c r="R174" s="19"/>
      <c r="S174" s="19"/>
      <c r="T174" s="19"/>
      <c r="U174" s="19"/>
      <c r="V174" s="19"/>
      <c r="W174" s="19"/>
      <c r="X174" s="19"/>
      <c r="Y174" s="19"/>
      <c r="Z174" s="19"/>
      <c r="AA174" s="19"/>
      <c r="AB174" s="19"/>
      <c r="AC174" s="19"/>
      <c r="AD174" s="44"/>
      <c r="AE174" s="44"/>
      <c r="AF174" s="44"/>
      <c r="AG174" s="44"/>
      <c r="AH174" s="50"/>
      <c r="AI174" s="50"/>
      <c r="BD174" s="20"/>
      <c r="BE174" s="19"/>
      <c r="BF174" s="19"/>
      <c r="BG174" s="19"/>
      <c r="BH174" s="19"/>
      <c r="BI174" s="19"/>
      <c r="BJ174" s="19"/>
      <c r="BK174" s="19"/>
      <c r="BL174" s="19"/>
      <c r="BM174" s="19"/>
      <c r="BN174" s="19"/>
      <c r="BP174" s="19"/>
      <c r="BQ174" s="19"/>
      <c r="BR174" s="19"/>
      <c r="BS174" s="19"/>
      <c r="BT174" s="19"/>
      <c r="BU174" s="19"/>
      <c r="BV174" s="19"/>
      <c r="BW174" s="19"/>
      <c r="BX174" s="19"/>
      <c r="BY174" s="19"/>
      <c r="BZ174" s="19"/>
      <c r="CA174" s="19"/>
      <c r="CB174" s="19"/>
      <c r="CC174" s="19"/>
      <c r="CD174" s="19"/>
      <c r="CE174" s="19"/>
      <c r="CF174" s="44"/>
      <c r="CG174" s="44"/>
      <c r="CH174" s="44"/>
      <c r="CI174" s="44"/>
      <c r="CJ174" s="50"/>
      <c r="CK174" s="50"/>
    </row>
    <row r="175" spans="3:89" hidden="1" x14ac:dyDescent="0.3">
      <c r="C175" s="19"/>
      <c r="D175" s="19"/>
      <c r="E175" s="19"/>
      <c r="F175" s="19"/>
      <c r="G175" s="19"/>
      <c r="H175" s="19"/>
      <c r="I175" s="19"/>
      <c r="J175" s="19"/>
      <c r="K175" s="18" t="s">
        <v>102</v>
      </c>
      <c r="L175" s="19"/>
      <c r="M175" s="21" t="str">
        <f>""</f>
        <v/>
      </c>
      <c r="N175" s="19"/>
      <c r="O175" s="19"/>
      <c r="P175" s="19"/>
      <c r="Q175" s="19"/>
      <c r="R175" s="19"/>
      <c r="S175" s="19"/>
      <c r="T175" s="19"/>
      <c r="U175" s="19"/>
      <c r="V175" s="19"/>
      <c r="W175" s="19"/>
      <c r="X175" s="19"/>
      <c r="Y175" s="19"/>
      <c r="Z175" s="19"/>
      <c r="AA175" s="19"/>
      <c r="AB175" s="19"/>
      <c r="AC175" s="19"/>
      <c r="AD175" s="44"/>
      <c r="AE175" s="44"/>
      <c r="AF175" s="44"/>
      <c r="AG175" s="44"/>
      <c r="AH175" s="50"/>
      <c r="AI175" s="50"/>
      <c r="BD175" s="20"/>
      <c r="BE175" s="19"/>
      <c r="BF175" s="19"/>
      <c r="BG175" s="19"/>
      <c r="BH175" s="19"/>
      <c r="BI175" s="19"/>
      <c r="BJ175" s="19"/>
      <c r="BK175" s="19"/>
      <c r="BL175" s="19"/>
      <c r="BM175" s="18"/>
      <c r="BN175" s="19"/>
      <c r="BP175" s="19"/>
      <c r="BQ175" s="19"/>
      <c r="BR175" s="19"/>
      <c r="BS175" s="19"/>
      <c r="BT175" s="19"/>
      <c r="BU175" s="19"/>
      <c r="BV175" s="19"/>
      <c r="BW175" s="19"/>
      <c r="BX175" s="19"/>
      <c r="BY175" s="19"/>
      <c r="BZ175" s="19"/>
      <c r="CA175" s="19"/>
      <c r="CB175" s="19"/>
      <c r="CC175" s="19"/>
      <c r="CD175" s="19"/>
      <c r="CE175" s="19"/>
      <c r="CF175" s="44"/>
      <c r="CG175" s="44"/>
      <c r="CH175" s="44"/>
      <c r="CI175" s="44"/>
      <c r="CJ175" s="50"/>
      <c r="CK175" s="50"/>
    </row>
    <row r="176" spans="3:89" hidden="1" x14ac:dyDescent="0.3">
      <c r="C176" s="19"/>
      <c r="D176" s="19"/>
      <c r="E176" s="19"/>
      <c r="F176" s="19"/>
      <c r="G176" s="19"/>
      <c r="H176" s="19"/>
      <c r="I176" s="19"/>
      <c r="J176" s="19"/>
      <c r="K176" s="19" t="s">
        <v>103</v>
      </c>
      <c r="L176" s="19"/>
      <c r="M176" s="21" t="str">
        <f>""</f>
        <v/>
      </c>
      <c r="N176" s="19"/>
      <c r="O176" s="19"/>
      <c r="P176" s="19"/>
      <c r="Q176" s="19"/>
      <c r="R176" s="19"/>
      <c r="S176" s="19"/>
      <c r="T176" s="19"/>
      <c r="U176" s="19"/>
      <c r="V176" s="19"/>
      <c r="W176" s="19"/>
      <c r="X176" s="19"/>
      <c r="Y176" s="19"/>
      <c r="Z176" s="19"/>
      <c r="AA176" s="19"/>
      <c r="AB176" s="19"/>
      <c r="AC176" s="19"/>
      <c r="AD176" s="44"/>
      <c r="AE176" s="44"/>
      <c r="AF176" s="44"/>
      <c r="AG176" s="44"/>
      <c r="AH176" s="50"/>
      <c r="AI176" s="50"/>
      <c r="BD176" s="20"/>
      <c r="BE176" s="19"/>
      <c r="BF176" s="19"/>
      <c r="BG176" s="19"/>
      <c r="BH176" s="19"/>
      <c r="BI176" s="19"/>
      <c r="BJ176" s="19"/>
      <c r="BK176" s="19"/>
      <c r="BL176" s="19"/>
      <c r="BM176" s="18"/>
      <c r="BN176" s="19"/>
      <c r="BP176" s="19"/>
      <c r="BQ176" s="19"/>
      <c r="BR176" s="19"/>
      <c r="BS176" s="19"/>
      <c r="BT176" s="19"/>
      <c r="BU176" s="19"/>
      <c r="BV176" s="19"/>
      <c r="BW176" s="19"/>
      <c r="BX176" s="19"/>
      <c r="BY176" s="19"/>
      <c r="BZ176" s="19"/>
      <c r="CA176" s="19"/>
      <c r="CB176" s="19"/>
      <c r="CC176" s="19"/>
      <c r="CD176" s="19"/>
      <c r="CE176" s="19"/>
      <c r="CF176" s="44"/>
      <c r="CG176" s="44"/>
      <c r="CH176" s="44"/>
      <c r="CI176" s="44"/>
      <c r="CJ176" s="50"/>
      <c r="CK176" s="50"/>
    </row>
    <row r="177" spans="3:89" hidden="1" x14ac:dyDescent="0.3">
      <c r="C177" s="19"/>
      <c r="D177" s="19"/>
      <c r="E177" s="19"/>
      <c r="F177" s="19"/>
      <c r="G177" s="19"/>
      <c r="H177" s="19"/>
      <c r="I177" s="19"/>
      <c r="J177" s="19"/>
      <c r="K177" s="18" t="s">
        <v>104</v>
      </c>
      <c r="L177" s="19"/>
      <c r="M177" s="21" t="str">
        <f>""</f>
        <v/>
      </c>
      <c r="N177" s="19"/>
      <c r="O177" s="19"/>
      <c r="P177" s="19"/>
      <c r="Q177" s="19"/>
      <c r="R177" s="19"/>
      <c r="S177" s="19"/>
      <c r="T177" s="19"/>
      <c r="U177" s="19"/>
      <c r="V177" s="19"/>
      <c r="W177" s="19"/>
      <c r="X177" s="19"/>
      <c r="Y177" s="19"/>
      <c r="Z177" s="19"/>
      <c r="AA177" s="19"/>
      <c r="AB177" s="19"/>
      <c r="AC177" s="19"/>
      <c r="AD177" s="44"/>
      <c r="AE177" s="44"/>
      <c r="AF177" s="44"/>
      <c r="AG177" s="44"/>
      <c r="AH177" s="50"/>
      <c r="AI177" s="50"/>
      <c r="BD177" s="20"/>
      <c r="BE177" s="19"/>
      <c r="BF177" s="19"/>
      <c r="BG177" s="19"/>
      <c r="BH177" s="19"/>
      <c r="BI177" s="19"/>
      <c r="BJ177" s="19"/>
      <c r="BK177" s="19"/>
      <c r="BL177" s="19"/>
      <c r="BM177" s="18"/>
      <c r="BN177" s="19"/>
      <c r="BP177" s="19"/>
      <c r="BQ177" s="19"/>
      <c r="BR177" s="19"/>
      <c r="BS177" s="19"/>
      <c r="BT177" s="19"/>
      <c r="BU177" s="19"/>
      <c r="BV177" s="19"/>
      <c r="BW177" s="19"/>
      <c r="BX177" s="19"/>
      <c r="BY177" s="19"/>
      <c r="BZ177" s="19"/>
      <c r="CA177" s="19"/>
      <c r="CB177" s="19"/>
      <c r="CC177" s="19"/>
      <c r="CD177" s="19"/>
      <c r="CE177" s="19"/>
      <c r="CF177" s="44"/>
      <c r="CG177" s="44"/>
      <c r="CH177" s="44"/>
      <c r="CI177" s="44"/>
      <c r="CJ177" s="50"/>
      <c r="CK177" s="50"/>
    </row>
    <row r="178" spans="3:89" hidden="1" x14ac:dyDescent="0.3">
      <c r="C178" s="19"/>
      <c r="D178" s="19"/>
      <c r="E178" s="19"/>
      <c r="F178" s="19"/>
      <c r="G178" s="19"/>
      <c r="H178" s="19"/>
      <c r="I178" s="19"/>
      <c r="J178" s="19"/>
      <c r="K178" s="19" t="s">
        <v>105</v>
      </c>
      <c r="L178" s="19"/>
      <c r="M178" s="21" t="str">
        <f>""</f>
        <v/>
      </c>
      <c r="N178" s="19"/>
      <c r="O178" s="19"/>
      <c r="P178" s="19"/>
      <c r="Q178" s="19"/>
      <c r="R178" s="19"/>
      <c r="S178" s="19"/>
      <c r="T178" s="19"/>
      <c r="U178" s="19"/>
      <c r="V178" s="19"/>
      <c r="W178" s="19"/>
      <c r="X178" s="19"/>
      <c r="Y178" s="19"/>
      <c r="Z178" s="19"/>
      <c r="AA178" s="19"/>
      <c r="AB178" s="19"/>
      <c r="AC178" s="19"/>
      <c r="AD178" s="44"/>
      <c r="AE178" s="44"/>
      <c r="AF178" s="44"/>
      <c r="AG178" s="44"/>
      <c r="AH178" s="50"/>
      <c r="AI178" s="50"/>
      <c r="BD178" s="20"/>
      <c r="BE178" s="19"/>
      <c r="BF178" s="19"/>
      <c r="BG178" s="19"/>
      <c r="BH178" s="19"/>
      <c r="BI178" s="19"/>
      <c r="BJ178" s="19"/>
      <c r="BK178" s="19"/>
      <c r="BL178" s="19"/>
      <c r="BM178" s="18"/>
      <c r="BN178" s="19"/>
      <c r="BP178" s="19"/>
      <c r="BQ178" s="19"/>
      <c r="BR178" s="19"/>
      <c r="BS178" s="19"/>
      <c r="BT178" s="19"/>
      <c r="BU178" s="19"/>
      <c r="BV178" s="19"/>
      <c r="BW178" s="19"/>
      <c r="BX178" s="19"/>
      <c r="BY178" s="19"/>
      <c r="BZ178" s="19"/>
      <c r="CA178" s="19"/>
      <c r="CB178" s="19"/>
      <c r="CC178" s="19"/>
      <c r="CD178" s="19"/>
      <c r="CE178" s="19"/>
      <c r="CF178" s="44"/>
      <c r="CG178" s="44"/>
      <c r="CH178" s="44"/>
      <c r="CI178" s="44"/>
      <c r="CJ178" s="50"/>
      <c r="CK178" s="50"/>
    </row>
    <row r="179" spans="3:89" hidden="1" x14ac:dyDescent="0.3">
      <c r="C179" s="19"/>
      <c r="D179" s="19"/>
      <c r="E179" s="19"/>
      <c r="F179" s="19"/>
      <c r="G179" s="19"/>
      <c r="H179" s="19"/>
      <c r="I179" s="19"/>
      <c r="J179" s="19"/>
      <c r="K179" s="19" t="s">
        <v>106</v>
      </c>
      <c r="L179" s="19"/>
      <c r="N179" s="19"/>
      <c r="O179" s="19"/>
      <c r="P179" s="19"/>
      <c r="Q179" s="19"/>
      <c r="R179" s="19"/>
      <c r="S179" s="19"/>
      <c r="T179" s="19"/>
      <c r="U179" s="19"/>
      <c r="V179" s="19"/>
      <c r="W179" s="19"/>
      <c r="X179" s="19"/>
      <c r="Y179" s="19"/>
      <c r="Z179" s="19"/>
      <c r="AA179" s="19"/>
      <c r="AB179" s="19"/>
      <c r="AC179" s="19"/>
      <c r="AD179" s="44"/>
      <c r="AE179" s="44"/>
      <c r="AF179" s="44"/>
      <c r="AG179" s="44"/>
      <c r="AH179" s="50"/>
      <c r="AI179" s="50"/>
      <c r="BD179" s="20"/>
      <c r="BE179" s="19"/>
      <c r="BF179" s="19"/>
      <c r="BG179" s="19"/>
      <c r="BH179" s="19"/>
      <c r="BI179" s="19"/>
      <c r="BJ179" s="19"/>
      <c r="BK179" s="19"/>
      <c r="BL179" s="19"/>
      <c r="BM179" s="18"/>
      <c r="BN179" s="19"/>
      <c r="BP179" s="19"/>
      <c r="BQ179" s="19"/>
      <c r="BR179" s="19"/>
      <c r="BS179" s="19"/>
      <c r="BT179" s="19"/>
      <c r="BU179" s="19"/>
      <c r="BV179" s="19"/>
      <c r="BW179" s="19"/>
      <c r="BX179" s="19"/>
      <c r="BY179" s="19"/>
      <c r="BZ179" s="19"/>
      <c r="CA179" s="19"/>
      <c r="CB179" s="19"/>
      <c r="CC179" s="19"/>
      <c r="CD179" s="19"/>
      <c r="CE179" s="19"/>
      <c r="CF179" s="44"/>
      <c r="CG179" s="44"/>
      <c r="CH179" s="44"/>
      <c r="CI179" s="44"/>
      <c r="CJ179" s="50"/>
      <c r="CK179" s="50"/>
    </row>
    <row r="180" spans="3:89" hidden="1" x14ac:dyDescent="0.3">
      <c r="C180" s="19"/>
      <c r="D180" s="19"/>
      <c r="E180" s="19"/>
      <c r="F180" s="19"/>
      <c r="G180" s="19"/>
      <c r="H180" s="19"/>
      <c r="I180" s="19"/>
      <c r="J180" s="19"/>
      <c r="K180" s="18" t="s">
        <v>107</v>
      </c>
      <c r="L180" s="19"/>
      <c r="M180" s="21" t="str">
        <f>""</f>
        <v/>
      </c>
      <c r="N180" s="19"/>
      <c r="O180" s="19"/>
      <c r="P180" s="19"/>
      <c r="Q180" s="19"/>
      <c r="R180" s="19"/>
      <c r="S180" s="19"/>
      <c r="T180" s="19"/>
      <c r="U180" s="19"/>
      <c r="V180" s="19"/>
      <c r="W180" s="19"/>
      <c r="X180" s="19"/>
      <c r="Y180" s="19"/>
      <c r="Z180" s="19"/>
      <c r="AA180" s="19"/>
      <c r="AB180" s="19"/>
      <c r="AC180" s="19"/>
      <c r="AD180" s="44"/>
      <c r="AE180" s="44"/>
      <c r="AF180" s="44"/>
      <c r="AG180" s="44"/>
      <c r="AH180" s="50"/>
      <c r="AI180" s="50"/>
      <c r="BD180" s="20"/>
      <c r="BE180" s="19"/>
      <c r="BF180" s="19"/>
      <c r="BG180" s="19"/>
      <c r="BH180" s="19"/>
      <c r="BI180" s="19"/>
      <c r="BJ180" s="19"/>
      <c r="BK180" s="19"/>
      <c r="BL180" s="19"/>
      <c r="BM180" s="18"/>
      <c r="BN180" s="19"/>
      <c r="BP180" s="19"/>
      <c r="BQ180" s="19"/>
      <c r="BR180" s="19"/>
      <c r="BS180" s="19"/>
      <c r="BT180" s="19"/>
      <c r="BU180" s="19"/>
      <c r="BV180" s="19"/>
      <c r="BW180" s="19"/>
      <c r="BX180" s="19"/>
      <c r="BY180" s="19"/>
      <c r="BZ180" s="19"/>
      <c r="CA180" s="19"/>
      <c r="CB180" s="19"/>
      <c r="CC180" s="19"/>
      <c r="CD180" s="19"/>
      <c r="CE180" s="19"/>
      <c r="CF180" s="44"/>
      <c r="CG180" s="44"/>
      <c r="CH180" s="44"/>
      <c r="CI180" s="44"/>
      <c r="CJ180" s="50"/>
      <c r="CK180" s="50"/>
    </row>
    <row r="181" spans="3:89" hidden="1" x14ac:dyDescent="0.3">
      <c r="C181" s="19"/>
      <c r="D181" s="19"/>
      <c r="E181" s="19"/>
      <c r="F181" s="19"/>
      <c r="G181" s="19"/>
      <c r="H181" s="19"/>
      <c r="I181" s="19"/>
      <c r="J181" s="19"/>
      <c r="K181" s="19" t="s">
        <v>108</v>
      </c>
      <c r="L181" s="19"/>
      <c r="M181" s="21" t="str">
        <f>""</f>
        <v/>
      </c>
      <c r="N181" s="19"/>
      <c r="O181" s="19"/>
      <c r="P181" s="19"/>
      <c r="Q181" s="19"/>
      <c r="R181" s="19"/>
      <c r="S181" s="19"/>
      <c r="T181" s="19"/>
      <c r="U181" s="19"/>
      <c r="V181" s="19"/>
      <c r="W181" s="19"/>
      <c r="X181" s="19"/>
      <c r="Y181" s="19"/>
      <c r="Z181" s="19"/>
      <c r="AA181" s="19"/>
      <c r="AB181" s="19"/>
      <c r="AC181" s="19"/>
      <c r="AD181" s="44"/>
      <c r="AE181" s="44"/>
      <c r="AF181" s="44"/>
      <c r="AG181" s="44"/>
      <c r="AH181" s="50"/>
      <c r="AI181" s="50"/>
      <c r="BD181" s="20"/>
      <c r="BE181" s="19"/>
      <c r="BF181" s="19"/>
      <c r="BG181" s="19"/>
      <c r="BH181" s="19"/>
      <c r="BI181" s="19"/>
      <c r="BJ181" s="19"/>
      <c r="BK181" s="19"/>
      <c r="BL181" s="19"/>
      <c r="BM181" s="18"/>
      <c r="BN181" s="19"/>
      <c r="BP181" s="19"/>
      <c r="BQ181" s="19"/>
      <c r="BR181" s="19"/>
      <c r="BS181" s="19"/>
      <c r="BT181" s="19"/>
      <c r="BU181" s="19"/>
      <c r="BV181" s="19"/>
      <c r="BW181" s="19"/>
      <c r="BX181" s="19"/>
      <c r="BY181" s="19"/>
      <c r="BZ181" s="19"/>
      <c r="CA181" s="19"/>
      <c r="CB181" s="19"/>
      <c r="CC181" s="19"/>
      <c r="CD181" s="19"/>
      <c r="CE181" s="19"/>
      <c r="CF181" s="44"/>
      <c r="CG181" s="44"/>
      <c r="CH181" s="44"/>
      <c r="CI181" s="44"/>
      <c r="CJ181" s="50"/>
      <c r="CK181" s="50"/>
    </row>
    <row r="182" spans="3:89" hidden="1" x14ac:dyDescent="0.3">
      <c r="C182" s="19"/>
      <c r="D182" s="19"/>
      <c r="E182" s="19"/>
      <c r="F182" s="19"/>
      <c r="G182" s="19"/>
      <c r="H182" s="19"/>
      <c r="I182" s="19"/>
      <c r="J182" s="19"/>
      <c r="K182" s="19" t="s">
        <v>109</v>
      </c>
      <c r="L182" s="19"/>
      <c r="M182" s="21" t="str">
        <f>""</f>
        <v/>
      </c>
      <c r="N182" s="19"/>
      <c r="O182" s="19"/>
      <c r="P182" s="19"/>
      <c r="Q182" s="19"/>
      <c r="R182" s="19"/>
      <c r="S182" s="19"/>
      <c r="T182" s="19"/>
      <c r="U182" s="19"/>
      <c r="V182" s="19"/>
      <c r="W182" s="19"/>
      <c r="X182" s="19"/>
      <c r="Y182" s="19"/>
      <c r="Z182" s="19"/>
      <c r="AA182" s="19"/>
      <c r="AB182" s="19"/>
      <c r="AC182" s="19"/>
      <c r="AD182" s="44"/>
      <c r="AE182" s="44"/>
      <c r="AF182" s="44"/>
      <c r="AG182" s="44"/>
      <c r="AH182" s="50"/>
      <c r="AI182" s="50"/>
      <c r="BD182" s="20"/>
      <c r="BE182" s="19"/>
      <c r="BF182" s="19"/>
      <c r="BG182" s="19"/>
      <c r="BH182" s="19"/>
      <c r="BI182" s="19"/>
      <c r="BJ182" s="19"/>
      <c r="BK182" s="19"/>
      <c r="BL182" s="19"/>
      <c r="BM182" s="19"/>
      <c r="BN182" s="19"/>
      <c r="BP182" s="19"/>
      <c r="BQ182" s="19"/>
      <c r="BR182" s="19"/>
      <c r="BS182" s="19"/>
      <c r="BT182" s="19"/>
      <c r="BU182" s="19"/>
      <c r="BV182" s="19"/>
      <c r="BW182" s="19"/>
      <c r="BX182" s="19"/>
      <c r="BY182" s="19"/>
      <c r="BZ182" s="19"/>
      <c r="CA182" s="19"/>
      <c r="CB182" s="19"/>
      <c r="CC182" s="19"/>
      <c r="CD182" s="19"/>
      <c r="CE182" s="19"/>
      <c r="CF182" s="44"/>
      <c r="CG182" s="44"/>
      <c r="CH182" s="44"/>
      <c r="CI182" s="44"/>
      <c r="CJ182" s="50"/>
      <c r="CK182" s="50"/>
    </row>
    <row r="183" spans="3:89" hidden="1" x14ac:dyDescent="0.3">
      <c r="C183" s="19"/>
      <c r="D183" s="19"/>
      <c r="E183" s="19"/>
      <c r="F183" s="19"/>
      <c r="G183" s="19"/>
      <c r="H183" s="19"/>
      <c r="I183" s="19"/>
      <c r="J183" s="19"/>
      <c r="K183" s="19" t="s">
        <v>1060</v>
      </c>
      <c r="L183" s="19"/>
      <c r="M183" s="21" t="str">
        <f>""</f>
        <v/>
      </c>
      <c r="N183" s="19"/>
      <c r="O183" s="19"/>
      <c r="P183" s="19"/>
      <c r="Q183" s="19"/>
      <c r="R183" s="19"/>
      <c r="S183" s="19"/>
      <c r="T183" s="19"/>
      <c r="U183" s="19"/>
      <c r="V183" s="19"/>
      <c r="W183" s="19"/>
      <c r="X183" s="19"/>
      <c r="Y183" s="19"/>
      <c r="Z183" s="19"/>
      <c r="AA183" s="19"/>
      <c r="AB183" s="19"/>
      <c r="AC183" s="19"/>
      <c r="AD183" s="44"/>
      <c r="AE183" s="44"/>
      <c r="AF183" s="44"/>
      <c r="AG183" s="44"/>
      <c r="AH183" s="50"/>
      <c r="AI183" s="50"/>
      <c r="BD183" s="20"/>
      <c r="BE183" s="19"/>
      <c r="BF183" s="19"/>
      <c r="BG183" s="19"/>
      <c r="BH183" s="19"/>
      <c r="BI183" s="19"/>
      <c r="BJ183" s="19"/>
      <c r="BK183" s="19"/>
      <c r="BL183" s="19"/>
      <c r="BM183" s="18"/>
      <c r="BN183" s="19"/>
      <c r="BP183" s="19"/>
      <c r="BQ183" s="19"/>
      <c r="BR183" s="19"/>
      <c r="BS183" s="19"/>
      <c r="BT183" s="19"/>
      <c r="BU183" s="19"/>
      <c r="BV183" s="19"/>
      <c r="BW183" s="19"/>
      <c r="BX183" s="19"/>
      <c r="BY183" s="19"/>
      <c r="BZ183" s="19"/>
      <c r="CA183" s="19"/>
      <c r="CB183" s="19"/>
      <c r="CC183" s="19"/>
      <c r="CD183" s="19"/>
      <c r="CE183" s="19"/>
      <c r="CF183" s="44"/>
      <c r="CG183" s="44"/>
      <c r="CH183" s="44"/>
      <c r="CI183" s="44"/>
      <c r="CJ183" s="50"/>
      <c r="CK183" s="50"/>
    </row>
    <row r="184" spans="3:89" hidden="1" x14ac:dyDescent="0.3">
      <c r="C184" s="19"/>
      <c r="D184" s="19"/>
      <c r="E184" s="19"/>
      <c r="F184" s="19"/>
      <c r="G184" s="19"/>
      <c r="H184" s="19"/>
      <c r="I184" s="19"/>
      <c r="J184" s="19"/>
      <c r="K184" s="19" t="s">
        <v>1061</v>
      </c>
      <c r="L184" s="19"/>
      <c r="M184" s="21" t="str">
        <f>""</f>
        <v/>
      </c>
      <c r="N184" s="19"/>
      <c r="O184" s="19"/>
      <c r="P184" s="19"/>
      <c r="Q184" s="19"/>
      <c r="R184" s="19"/>
      <c r="S184" s="19"/>
      <c r="T184" s="19"/>
      <c r="U184" s="19"/>
      <c r="V184" s="19"/>
      <c r="W184" s="19"/>
      <c r="X184" s="19"/>
      <c r="Y184" s="19"/>
      <c r="Z184" s="19"/>
      <c r="AA184" s="19"/>
      <c r="AB184" s="19"/>
      <c r="AC184" s="19"/>
      <c r="AD184" s="44"/>
      <c r="AE184" s="44"/>
      <c r="AF184" s="44"/>
      <c r="AG184" s="44"/>
      <c r="AH184" s="50"/>
      <c r="AI184" s="50"/>
      <c r="BD184" s="20"/>
      <c r="BE184" s="19"/>
      <c r="BF184" s="19"/>
      <c r="BG184" s="19"/>
      <c r="BH184" s="19"/>
      <c r="BI184" s="19"/>
      <c r="BJ184" s="19"/>
      <c r="BK184" s="19"/>
      <c r="BL184" s="19"/>
      <c r="BM184" s="19"/>
      <c r="BN184" s="19"/>
      <c r="BP184" s="19"/>
      <c r="BQ184" s="19"/>
      <c r="BR184" s="19"/>
      <c r="BS184" s="19"/>
      <c r="BT184" s="19"/>
      <c r="BU184" s="19"/>
      <c r="BV184" s="19"/>
      <c r="BW184" s="19"/>
      <c r="BX184" s="19"/>
      <c r="BY184" s="19"/>
      <c r="BZ184" s="19"/>
      <c r="CA184" s="19"/>
      <c r="CB184" s="19"/>
      <c r="CC184" s="19"/>
      <c r="CD184" s="19"/>
      <c r="CE184" s="19"/>
      <c r="CF184" s="44"/>
      <c r="CG184" s="44"/>
      <c r="CH184" s="44"/>
      <c r="CI184" s="44"/>
      <c r="CJ184" s="50"/>
      <c r="CK184" s="50"/>
    </row>
    <row r="185" spans="3:89" hidden="1" x14ac:dyDescent="0.3">
      <c r="C185" s="19"/>
      <c r="D185" s="19"/>
      <c r="E185" s="19"/>
      <c r="F185" s="19"/>
      <c r="G185" s="19"/>
      <c r="H185" s="19"/>
      <c r="I185" s="19"/>
      <c r="J185" s="19"/>
      <c r="K185" s="19" t="s">
        <v>110</v>
      </c>
      <c r="L185" s="19"/>
      <c r="N185" s="19"/>
      <c r="O185" s="19"/>
      <c r="P185" s="19"/>
      <c r="Q185" s="19"/>
      <c r="R185" s="19"/>
      <c r="S185" s="19"/>
      <c r="T185" s="19"/>
      <c r="U185" s="19"/>
      <c r="V185" s="19"/>
      <c r="W185" s="19"/>
      <c r="X185" s="19"/>
      <c r="Y185" s="19"/>
      <c r="Z185" s="19"/>
      <c r="AA185" s="19"/>
      <c r="AB185" s="19"/>
      <c r="AC185" s="19"/>
      <c r="AD185" s="44"/>
      <c r="AE185" s="44"/>
      <c r="AF185" s="44"/>
      <c r="AG185" s="44"/>
      <c r="AH185" s="50"/>
      <c r="AI185" s="50"/>
      <c r="BD185" s="20"/>
      <c r="BE185" s="19"/>
      <c r="BF185" s="19"/>
      <c r="BG185" s="19"/>
      <c r="BH185" s="19"/>
      <c r="BI185" s="19"/>
      <c r="BJ185" s="19"/>
      <c r="BK185" s="19"/>
      <c r="BL185" s="19"/>
      <c r="BM185" s="19"/>
      <c r="BN185" s="19"/>
      <c r="BP185" s="19"/>
      <c r="BQ185" s="19"/>
      <c r="BR185" s="19"/>
      <c r="BS185" s="19"/>
      <c r="BT185" s="19"/>
      <c r="BU185" s="19"/>
      <c r="BV185" s="19"/>
      <c r="BW185" s="19"/>
      <c r="BX185" s="19"/>
      <c r="BY185" s="19"/>
      <c r="BZ185" s="19"/>
      <c r="CA185" s="19"/>
      <c r="CB185" s="19"/>
      <c r="CC185" s="19"/>
      <c r="CD185" s="19"/>
      <c r="CE185" s="19"/>
      <c r="CF185" s="44"/>
      <c r="CG185" s="44"/>
      <c r="CH185" s="44"/>
      <c r="CI185" s="44"/>
      <c r="CJ185" s="50"/>
      <c r="CK185" s="50"/>
    </row>
    <row r="186" spans="3:89" hidden="1" x14ac:dyDescent="0.3">
      <c r="C186" s="19"/>
      <c r="D186" s="19"/>
      <c r="E186" s="19"/>
      <c r="F186" s="19"/>
      <c r="G186" s="19"/>
      <c r="H186" s="19"/>
      <c r="I186" s="19"/>
      <c r="J186" s="19"/>
      <c r="K186" s="18" t="s">
        <v>111</v>
      </c>
      <c r="L186" s="19"/>
      <c r="M186" s="21" t="str">
        <f>""</f>
        <v/>
      </c>
      <c r="N186" s="19"/>
      <c r="O186" s="19"/>
      <c r="P186" s="19"/>
      <c r="Q186" s="19"/>
      <c r="R186" s="19"/>
      <c r="S186" s="19"/>
      <c r="T186" s="19"/>
      <c r="U186" s="19"/>
      <c r="V186" s="19"/>
      <c r="W186" s="19"/>
      <c r="X186" s="19"/>
      <c r="Y186" s="19"/>
      <c r="Z186" s="19"/>
      <c r="AA186" s="19"/>
      <c r="AB186" s="19"/>
      <c r="AC186" s="19"/>
      <c r="AD186" s="44"/>
      <c r="AE186" s="44"/>
      <c r="AF186" s="44"/>
      <c r="AG186" s="44"/>
      <c r="AH186" s="50"/>
      <c r="AI186" s="50"/>
      <c r="BD186" s="20"/>
      <c r="BE186" s="19"/>
      <c r="BF186" s="19"/>
      <c r="BG186" s="19"/>
      <c r="BH186" s="19"/>
      <c r="BI186" s="19"/>
      <c r="BJ186" s="19"/>
      <c r="BK186" s="19"/>
      <c r="BL186" s="19"/>
      <c r="BM186" s="19"/>
      <c r="BN186" s="19"/>
      <c r="BP186" s="19"/>
      <c r="BQ186" s="19"/>
      <c r="BR186" s="19"/>
      <c r="BS186" s="19"/>
      <c r="BT186" s="19"/>
      <c r="BU186" s="19"/>
      <c r="BV186" s="19"/>
      <c r="BW186" s="19"/>
      <c r="BX186" s="19"/>
      <c r="BY186" s="19"/>
      <c r="BZ186" s="19"/>
      <c r="CA186" s="19"/>
      <c r="CB186" s="19"/>
      <c r="CC186" s="19"/>
      <c r="CD186" s="19"/>
      <c r="CE186" s="19"/>
      <c r="CF186" s="44"/>
      <c r="CG186" s="44"/>
      <c r="CH186" s="44"/>
      <c r="CI186" s="44"/>
      <c r="CJ186" s="50"/>
      <c r="CK186" s="50"/>
    </row>
    <row r="187" spans="3:89" hidden="1" x14ac:dyDescent="0.3">
      <c r="C187" s="19"/>
      <c r="D187" s="19"/>
      <c r="E187" s="19"/>
      <c r="F187" s="19"/>
      <c r="G187" s="19"/>
      <c r="H187" s="19"/>
      <c r="I187" s="19"/>
      <c r="J187" s="19"/>
      <c r="K187" s="19" t="s">
        <v>112</v>
      </c>
      <c r="L187" s="19"/>
      <c r="M187" s="21" t="str">
        <f>""</f>
        <v/>
      </c>
      <c r="N187" s="19"/>
      <c r="O187" s="19"/>
      <c r="P187" s="19"/>
      <c r="Q187" s="19"/>
      <c r="R187" s="19"/>
      <c r="S187" s="19"/>
      <c r="T187" s="19"/>
      <c r="U187" s="19"/>
      <c r="V187" s="19"/>
      <c r="W187" s="19"/>
      <c r="X187" s="19"/>
      <c r="Y187" s="19"/>
      <c r="Z187" s="19"/>
      <c r="AA187" s="19"/>
      <c r="AB187" s="19"/>
      <c r="AC187" s="19"/>
      <c r="AD187" s="44"/>
      <c r="AE187" s="44"/>
      <c r="AF187" s="44"/>
      <c r="AG187" s="44"/>
      <c r="AH187" s="50"/>
      <c r="AI187" s="50"/>
      <c r="BD187" s="20"/>
      <c r="BE187" s="19"/>
      <c r="BF187" s="19"/>
      <c r="BG187" s="19"/>
      <c r="BH187" s="19"/>
      <c r="BI187" s="19"/>
      <c r="BJ187" s="19"/>
      <c r="BK187" s="19"/>
      <c r="BL187" s="19"/>
      <c r="BM187" s="19"/>
      <c r="BN187" s="19"/>
      <c r="BP187" s="19"/>
      <c r="BQ187" s="19"/>
      <c r="BR187" s="19"/>
      <c r="BS187" s="19"/>
      <c r="BT187" s="19"/>
      <c r="BU187" s="19"/>
      <c r="BV187" s="19"/>
      <c r="BW187" s="19"/>
      <c r="BX187" s="19"/>
      <c r="BY187" s="19"/>
      <c r="BZ187" s="19"/>
      <c r="CA187" s="19"/>
      <c r="CB187" s="19"/>
      <c r="CC187" s="19"/>
      <c r="CD187" s="19"/>
      <c r="CE187" s="19"/>
      <c r="CF187" s="44"/>
      <c r="CG187" s="44"/>
      <c r="CH187" s="44"/>
      <c r="CI187" s="44"/>
      <c r="CJ187" s="50"/>
      <c r="CK187" s="50"/>
    </row>
    <row r="188" spans="3:89" hidden="1" x14ac:dyDescent="0.3">
      <c r="C188" s="19"/>
      <c r="D188" s="19"/>
      <c r="E188" s="19"/>
      <c r="F188" s="19"/>
      <c r="G188" s="19"/>
      <c r="H188" s="19"/>
      <c r="I188" s="19"/>
      <c r="J188" s="19"/>
      <c r="K188" s="18" t="s">
        <v>1062</v>
      </c>
      <c r="L188" s="19"/>
      <c r="M188" s="21" t="str">
        <f>""</f>
        <v/>
      </c>
      <c r="N188" s="19"/>
      <c r="O188" s="19"/>
      <c r="P188" s="19"/>
      <c r="Q188" s="19"/>
      <c r="R188" s="19"/>
      <c r="S188" s="19"/>
      <c r="T188" s="19"/>
      <c r="U188" s="19"/>
      <c r="V188" s="19"/>
      <c r="W188" s="19"/>
      <c r="X188" s="19"/>
      <c r="Y188" s="19"/>
      <c r="Z188" s="19"/>
      <c r="AA188" s="19"/>
      <c r="AB188" s="19"/>
      <c r="AC188" s="19"/>
      <c r="AD188" s="44"/>
      <c r="AE188" s="44"/>
      <c r="AF188" s="44"/>
      <c r="AG188" s="44"/>
      <c r="AH188" s="50"/>
      <c r="AI188" s="50"/>
      <c r="BD188" s="20"/>
      <c r="BE188" s="19"/>
      <c r="BF188" s="19"/>
      <c r="BG188" s="19"/>
      <c r="BH188" s="19"/>
      <c r="BI188" s="19"/>
      <c r="BJ188" s="19"/>
      <c r="BK188" s="19"/>
      <c r="BL188" s="19"/>
      <c r="BM188" s="19"/>
      <c r="BN188" s="19"/>
      <c r="BP188" s="19"/>
      <c r="BQ188" s="19"/>
      <c r="BR188" s="19"/>
      <c r="BS188" s="19"/>
      <c r="BT188" s="19"/>
      <c r="BU188" s="19"/>
      <c r="BV188" s="19"/>
      <c r="BW188" s="19"/>
      <c r="BX188" s="19"/>
      <c r="BY188" s="19"/>
      <c r="BZ188" s="19"/>
      <c r="CA188" s="19"/>
      <c r="CB188" s="19"/>
      <c r="CC188" s="19"/>
      <c r="CD188" s="19"/>
      <c r="CE188" s="19"/>
      <c r="CF188" s="44"/>
      <c r="CG188" s="44"/>
      <c r="CH188" s="44"/>
      <c r="CI188" s="44"/>
      <c r="CJ188" s="50"/>
      <c r="CK188" s="50"/>
    </row>
    <row r="189" spans="3:89" hidden="1" x14ac:dyDescent="0.3">
      <c r="C189" s="19"/>
      <c r="D189" s="19"/>
      <c r="E189" s="19"/>
      <c r="F189" s="19"/>
      <c r="G189" s="19"/>
      <c r="H189" s="19"/>
      <c r="I189" s="19"/>
      <c r="J189" s="19"/>
      <c r="K189" s="19" t="s">
        <v>113</v>
      </c>
      <c r="L189" s="19"/>
      <c r="M189" s="21" t="str">
        <f>""</f>
        <v/>
      </c>
      <c r="N189" s="19"/>
      <c r="O189" s="19"/>
      <c r="P189" s="19"/>
      <c r="Q189" s="19"/>
      <c r="R189" s="19"/>
      <c r="S189" s="19"/>
      <c r="T189" s="19"/>
      <c r="U189" s="19"/>
      <c r="V189" s="19"/>
      <c r="W189" s="19"/>
      <c r="X189" s="19"/>
      <c r="Y189" s="19"/>
      <c r="Z189" s="19"/>
      <c r="AA189" s="19"/>
      <c r="AB189" s="19"/>
      <c r="AC189" s="19"/>
      <c r="AD189" s="44"/>
      <c r="AE189" s="44"/>
      <c r="AF189" s="44"/>
      <c r="AG189" s="44"/>
      <c r="AH189" s="50"/>
      <c r="AI189" s="50"/>
      <c r="BD189" s="20"/>
      <c r="BE189" s="19"/>
      <c r="BF189" s="19"/>
      <c r="BG189" s="19"/>
      <c r="BH189" s="19"/>
      <c r="BI189" s="19"/>
      <c r="BJ189" s="19"/>
      <c r="BK189" s="19"/>
      <c r="BL189" s="19"/>
      <c r="BM189" s="19"/>
      <c r="BN189" s="19"/>
      <c r="BP189" s="19"/>
      <c r="BQ189" s="19"/>
      <c r="BR189" s="19"/>
      <c r="BS189" s="19"/>
      <c r="BT189" s="19"/>
      <c r="BU189" s="19"/>
      <c r="BV189" s="19"/>
      <c r="BW189" s="19"/>
      <c r="BX189" s="19"/>
      <c r="BY189" s="19"/>
      <c r="BZ189" s="19"/>
      <c r="CA189" s="19"/>
      <c r="CB189" s="19"/>
      <c r="CC189" s="19"/>
      <c r="CD189" s="19"/>
      <c r="CE189" s="19"/>
      <c r="CF189" s="44"/>
      <c r="CG189" s="44"/>
      <c r="CH189" s="44"/>
      <c r="CI189" s="44"/>
      <c r="CJ189" s="50"/>
      <c r="CK189" s="50"/>
    </row>
    <row r="190" spans="3:89" hidden="1" x14ac:dyDescent="0.3">
      <c r="C190" s="19"/>
      <c r="D190" s="19"/>
      <c r="E190" s="19"/>
      <c r="F190" s="19"/>
      <c r="G190" s="19"/>
      <c r="H190" s="19"/>
      <c r="I190" s="19"/>
      <c r="J190" s="19"/>
      <c r="K190" s="18" t="s">
        <v>114</v>
      </c>
      <c r="L190" s="19"/>
      <c r="N190" s="19"/>
      <c r="O190" s="19"/>
      <c r="P190" s="19"/>
      <c r="Q190" s="19"/>
      <c r="R190" s="19"/>
      <c r="S190" s="19"/>
      <c r="T190" s="19"/>
      <c r="U190" s="19"/>
      <c r="V190" s="19"/>
      <c r="W190" s="19"/>
      <c r="X190" s="19"/>
      <c r="Y190" s="19"/>
      <c r="Z190" s="19"/>
      <c r="AA190" s="19"/>
      <c r="AB190" s="19"/>
      <c r="AC190" s="19"/>
      <c r="AD190" s="44"/>
      <c r="AE190" s="44"/>
      <c r="AF190" s="44"/>
      <c r="AG190" s="44"/>
      <c r="AH190" s="50"/>
      <c r="AI190" s="50"/>
      <c r="BD190" s="20"/>
      <c r="BE190" s="19"/>
      <c r="BF190" s="19"/>
      <c r="BG190" s="19"/>
      <c r="BH190" s="19"/>
      <c r="BI190" s="19"/>
      <c r="BJ190" s="19"/>
      <c r="BK190" s="19"/>
      <c r="BL190" s="19"/>
      <c r="BM190" s="19"/>
      <c r="BN190" s="19"/>
      <c r="BP190" s="19"/>
      <c r="BQ190" s="19"/>
      <c r="BR190" s="19"/>
      <c r="BS190" s="19"/>
      <c r="BT190" s="19"/>
      <c r="BU190" s="19"/>
      <c r="BV190" s="19"/>
      <c r="BW190" s="19"/>
      <c r="BX190" s="19"/>
      <c r="BY190" s="19"/>
      <c r="BZ190" s="19"/>
      <c r="CA190" s="19"/>
      <c r="CB190" s="19"/>
      <c r="CC190" s="19"/>
      <c r="CD190" s="19"/>
      <c r="CE190" s="19"/>
      <c r="CF190" s="44"/>
      <c r="CG190" s="44"/>
      <c r="CH190" s="44"/>
      <c r="CI190" s="44"/>
      <c r="CJ190" s="50"/>
      <c r="CK190" s="50"/>
    </row>
    <row r="191" spans="3:89" hidden="1" x14ac:dyDescent="0.3">
      <c r="C191" s="19"/>
      <c r="D191" s="19"/>
      <c r="E191" s="19"/>
      <c r="F191" s="19"/>
      <c r="G191" s="19"/>
      <c r="H191" s="19"/>
      <c r="I191" s="19"/>
      <c r="J191" s="19"/>
      <c r="K191" s="18" t="s">
        <v>115</v>
      </c>
      <c r="L191" s="19"/>
      <c r="M191" s="21" t="str">
        <f>""</f>
        <v/>
      </c>
      <c r="N191" s="19"/>
      <c r="O191" s="19"/>
      <c r="P191" s="19"/>
      <c r="Q191" s="19"/>
      <c r="R191" s="19"/>
      <c r="S191" s="19"/>
      <c r="T191" s="19"/>
      <c r="U191" s="19"/>
      <c r="V191" s="19"/>
      <c r="W191" s="19"/>
      <c r="X191" s="19"/>
      <c r="Y191" s="19"/>
      <c r="Z191" s="19"/>
      <c r="AA191" s="19"/>
      <c r="AB191" s="19"/>
      <c r="AC191" s="19"/>
      <c r="AD191" s="44"/>
      <c r="AE191" s="44"/>
      <c r="AF191" s="44"/>
      <c r="AG191" s="44"/>
      <c r="AH191" s="50"/>
      <c r="AI191" s="50"/>
      <c r="BD191" s="20"/>
      <c r="BE191" s="19"/>
      <c r="BF191" s="19"/>
      <c r="BG191" s="19"/>
      <c r="BH191" s="19"/>
      <c r="BI191" s="19"/>
      <c r="BJ191" s="19"/>
      <c r="BK191" s="19"/>
      <c r="BL191" s="19"/>
      <c r="BM191" s="18"/>
      <c r="BN191" s="19"/>
      <c r="BP191" s="19"/>
      <c r="BQ191" s="19"/>
      <c r="BR191" s="19"/>
      <c r="BS191" s="19"/>
      <c r="BT191" s="19"/>
      <c r="BU191" s="19"/>
      <c r="BV191" s="19"/>
      <c r="BW191" s="19"/>
      <c r="BX191" s="19"/>
      <c r="BY191" s="19"/>
      <c r="BZ191" s="19"/>
      <c r="CA191" s="19"/>
      <c r="CB191" s="19"/>
      <c r="CC191" s="19"/>
      <c r="CD191" s="19"/>
      <c r="CE191" s="19"/>
      <c r="CF191" s="44"/>
      <c r="CG191" s="44"/>
      <c r="CH191" s="44"/>
      <c r="CI191" s="44"/>
      <c r="CJ191" s="50"/>
      <c r="CK191" s="50"/>
    </row>
    <row r="192" spans="3:89" hidden="1" x14ac:dyDescent="0.3">
      <c r="C192" s="19"/>
      <c r="D192" s="19"/>
      <c r="E192" s="19"/>
      <c r="F192" s="19"/>
      <c r="G192" s="19"/>
      <c r="H192" s="19"/>
      <c r="I192" s="19"/>
      <c r="J192" s="19"/>
      <c r="K192" s="19" t="s">
        <v>116</v>
      </c>
      <c r="L192" s="19"/>
      <c r="M192" s="21" t="str">
        <f>""</f>
        <v/>
      </c>
      <c r="N192" s="19"/>
      <c r="O192" s="19"/>
      <c r="P192" s="19"/>
      <c r="Q192" s="19"/>
      <c r="R192" s="19"/>
      <c r="S192" s="19"/>
      <c r="T192" s="19"/>
      <c r="U192" s="19"/>
      <c r="V192" s="19"/>
      <c r="W192" s="19"/>
      <c r="X192" s="19"/>
      <c r="Y192" s="19"/>
      <c r="Z192" s="19"/>
      <c r="AA192" s="19"/>
      <c r="AB192" s="19"/>
      <c r="AC192" s="19"/>
      <c r="AD192" s="44"/>
      <c r="AE192" s="44"/>
      <c r="AF192" s="44"/>
      <c r="AG192" s="44"/>
      <c r="AH192" s="50"/>
      <c r="AI192" s="50"/>
      <c r="BD192" s="20"/>
      <c r="BE192" s="19"/>
      <c r="BF192" s="19"/>
      <c r="BG192" s="19"/>
      <c r="BH192" s="19"/>
      <c r="BI192" s="19"/>
      <c r="BJ192" s="19"/>
      <c r="BK192" s="19"/>
      <c r="BL192" s="19"/>
      <c r="BM192" s="18"/>
      <c r="BN192" s="19"/>
      <c r="BP192" s="19"/>
      <c r="BQ192" s="19"/>
      <c r="BR192" s="19"/>
      <c r="BS192" s="19"/>
      <c r="BT192" s="19"/>
      <c r="BU192" s="19"/>
      <c r="BV192" s="19"/>
      <c r="BW192" s="19"/>
      <c r="BX192" s="19"/>
      <c r="BY192" s="19"/>
      <c r="BZ192" s="19"/>
      <c r="CA192" s="19"/>
      <c r="CB192" s="19"/>
      <c r="CC192" s="19"/>
      <c r="CD192" s="19"/>
      <c r="CE192" s="19"/>
      <c r="CF192" s="44"/>
      <c r="CG192" s="44"/>
      <c r="CH192" s="44"/>
      <c r="CI192" s="44"/>
      <c r="CJ192" s="50"/>
      <c r="CK192" s="50"/>
    </row>
    <row r="193" spans="3:89" hidden="1" x14ac:dyDescent="0.3">
      <c r="C193" s="19"/>
      <c r="D193" s="19"/>
      <c r="E193" s="19"/>
      <c r="F193" s="19"/>
      <c r="G193" s="19"/>
      <c r="H193" s="19"/>
      <c r="I193" s="19"/>
      <c r="J193" s="19"/>
      <c r="K193" s="18" t="s">
        <v>1069</v>
      </c>
      <c r="L193" s="19"/>
      <c r="M193" s="21" t="str">
        <f>""</f>
        <v/>
      </c>
      <c r="N193" s="19"/>
      <c r="O193" s="19"/>
      <c r="P193" s="19"/>
      <c r="Q193" s="19"/>
      <c r="R193" s="19"/>
      <c r="S193" s="19"/>
      <c r="T193" s="19"/>
      <c r="U193" s="19"/>
      <c r="V193" s="19"/>
      <c r="W193" s="19"/>
      <c r="X193" s="19"/>
      <c r="Y193" s="19"/>
      <c r="Z193" s="19"/>
      <c r="AA193" s="19"/>
      <c r="AB193" s="19"/>
      <c r="AC193" s="19"/>
      <c r="AD193" s="44"/>
      <c r="AE193" s="44"/>
      <c r="AF193" s="44"/>
      <c r="AG193" s="44"/>
      <c r="AH193" s="50"/>
      <c r="AI193" s="50"/>
      <c r="BD193" s="20"/>
      <c r="BE193" s="19"/>
      <c r="BF193" s="19"/>
      <c r="BG193" s="19"/>
      <c r="BH193" s="19"/>
      <c r="BI193" s="19"/>
      <c r="BJ193" s="19"/>
      <c r="BK193" s="19"/>
      <c r="BL193" s="19"/>
      <c r="BM193" s="19"/>
      <c r="BN193" s="19"/>
      <c r="BP193" s="19"/>
      <c r="BQ193" s="19"/>
      <c r="BR193" s="19"/>
      <c r="BS193" s="19"/>
      <c r="BT193" s="19"/>
      <c r="BU193" s="19"/>
      <c r="BV193" s="19"/>
      <c r="BW193" s="19"/>
      <c r="BX193" s="19"/>
      <c r="BY193" s="19"/>
      <c r="BZ193" s="19"/>
      <c r="CA193" s="19"/>
      <c r="CB193" s="19"/>
      <c r="CC193" s="19"/>
      <c r="CD193" s="19"/>
      <c r="CE193" s="19"/>
      <c r="CF193" s="44"/>
      <c r="CG193" s="44"/>
      <c r="CH193" s="44"/>
      <c r="CI193" s="44"/>
      <c r="CJ193" s="50"/>
      <c r="CK193" s="50"/>
    </row>
    <row r="194" spans="3:89" hidden="1" x14ac:dyDescent="0.3">
      <c r="C194" s="19"/>
      <c r="D194" s="19"/>
      <c r="E194" s="19"/>
      <c r="F194" s="19"/>
      <c r="G194" s="19"/>
      <c r="H194" s="19"/>
      <c r="I194" s="19"/>
      <c r="J194" s="19"/>
      <c r="K194" s="18" t="s">
        <v>117</v>
      </c>
      <c r="L194" s="19"/>
      <c r="M194" s="21" t="str">
        <f>""</f>
        <v/>
      </c>
      <c r="N194" s="19"/>
      <c r="O194" s="19"/>
      <c r="P194" s="19"/>
      <c r="Q194" s="19"/>
      <c r="R194" s="19"/>
      <c r="S194" s="19"/>
      <c r="T194" s="19"/>
      <c r="U194" s="19"/>
      <c r="V194" s="19"/>
      <c r="W194" s="19"/>
      <c r="X194" s="19"/>
      <c r="Y194" s="19"/>
      <c r="Z194" s="19"/>
      <c r="AA194" s="19"/>
      <c r="AB194" s="19"/>
      <c r="AC194" s="19"/>
      <c r="AD194" s="44"/>
      <c r="AE194" s="44"/>
      <c r="AF194" s="44"/>
      <c r="AG194" s="44"/>
      <c r="AH194" s="50"/>
      <c r="AI194" s="50"/>
      <c r="BD194" s="20"/>
      <c r="BE194" s="19"/>
      <c r="BF194" s="19"/>
      <c r="BG194" s="19"/>
      <c r="BH194" s="19"/>
      <c r="BI194" s="19"/>
      <c r="BJ194" s="19"/>
      <c r="BK194" s="19"/>
      <c r="BL194" s="19"/>
      <c r="BM194" s="19"/>
      <c r="BN194" s="19"/>
      <c r="BP194" s="19"/>
      <c r="BQ194" s="19"/>
      <c r="BR194" s="19"/>
      <c r="BS194" s="19"/>
      <c r="BT194" s="19"/>
      <c r="BU194" s="19"/>
      <c r="BV194" s="19"/>
      <c r="BW194" s="19"/>
      <c r="BX194" s="19"/>
      <c r="BY194" s="19"/>
      <c r="BZ194" s="19"/>
      <c r="CA194" s="19"/>
      <c r="CB194" s="19"/>
      <c r="CC194" s="19"/>
      <c r="CD194" s="19"/>
      <c r="CE194" s="19"/>
      <c r="CF194" s="44"/>
      <c r="CG194" s="44"/>
      <c r="CH194" s="44"/>
      <c r="CI194" s="44"/>
      <c r="CJ194" s="50"/>
      <c r="CK194" s="50"/>
    </row>
    <row r="195" spans="3:89" hidden="1" x14ac:dyDescent="0.3">
      <c r="C195" s="19"/>
      <c r="D195" s="19"/>
      <c r="E195" s="19"/>
      <c r="F195" s="19"/>
      <c r="G195" s="19"/>
      <c r="H195" s="19"/>
      <c r="I195" s="19"/>
      <c r="J195" s="19"/>
      <c r="K195" s="19" t="s">
        <v>118</v>
      </c>
      <c r="L195" s="19"/>
      <c r="M195" s="21" t="str">
        <f>""</f>
        <v/>
      </c>
      <c r="N195" s="19"/>
      <c r="O195" s="19"/>
      <c r="P195" s="19"/>
      <c r="Q195" s="19"/>
      <c r="R195" s="19"/>
      <c r="S195" s="19"/>
      <c r="T195" s="19"/>
      <c r="U195" s="19"/>
      <c r="V195" s="19"/>
      <c r="W195" s="19"/>
      <c r="X195" s="19"/>
      <c r="Y195" s="19"/>
      <c r="Z195" s="19"/>
      <c r="AA195" s="19"/>
      <c r="AB195" s="19"/>
      <c r="AC195" s="19"/>
      <c r="AD195" s="44"/>
      <c r="AE195" s="44"/>
      <c r="AF195" s="44"/>
      <c r="AG195" s="44"/>
      <c r="AH195" s="50"/>
      <c r="AI195" s="50"/>
      <c r="BD195" s="20"/>
      <c r="BE195" s="19"/>
      <c r="BF195" s="19"/>
      <c r="BG195" s="19"/>
      <c r="BH195" s="19"/>
      <c r="BI195" s="19"/>
      <c r="BJ195" s="19"/>
      <c r="BK195" s="19"/>
      <c r="BL195" s="19"/>
      <c r="BM195" s="19"/>
      <c r="BN195" s="19"/>
      <c r="BP195" s="19"/>
      <c r="BQ195" s="19"/>
      <c r="BR195" s="19"/>
      <c r="BS195" s="19"/>
      <c r="BT195" s="19"/>
      <c r="BU195" s="19"/>
      <c r="BV195" s="19"/>
      <c r="BW195" s="19"/>
      <c r="BX195" s="19"/>
      <c r="BY195" s="19"/>
      <c r="BZ195" s="19"/>
      <c r="CA195" s="19"/>
      <c r="CB195" s="19"/>
      <c r="CC195" s="19"/>
      <c r="CD195" s="19"/>
      <c r="CE195" s="19"/>
      <c r="CF195" s="44"/>
      <c r="CG195" s="44"/>
      <c r="CH195" s="44"/>
      <c r="CI195" s="44"/>
      <c r="CJ195" s="50"/>
      <c r="CK195" s="50"/>
    </row>
    <row r="196" spans="3:89" hidden="1" x14ac:dyDescent="0.3">
      <c r="C196" s="19"/>
      <c r="D196" s="19"/>
      <c r="E196" s="19"/>
      <c r="F196" s="19"/>
      <c r="G196" s="19"/>
      <c r="H196" s="19"/>
      <c r="I196" s="19"/>
      <c r="J196" s="19"/>
      <c r="K196" s="19" t="s">
        <v>119</v>
      </c>
      <c r="L196" s="19"/>
      <c r="M196" s="21" t="str">
        <f>""</f>
        <v/>
      </c>
      <c r="N196" s="19"/>
      <c r="O196" s="19"/>
      <c r="P196" s="19"/>
      <c r="Q196" s="19"/>
      <c r="R196" s="19"/>
      <c r="S196" s="19"/>
      <c r="T196" s="19"/>
      <c r="U196" s="19"/>
      <c r="V196" s="19"/>
      <c r="W196" s="19"/>
      <c r="X196" s="19"/>
      <c r="Y196" s="19"/>
      <c r="Z196" s="19"/>
      <c r="AA196" s="19"/>
      <c r="AB196" s="19"/>
      <c r="AC196" s="19"/>
      <c r="AD196" s="44"/>
      <c r="AE196" s="44"/>
      <c r="AF196" s="44"/>
      <c r="AG196" s="44"/>
      <c r="AH196" s="50"/>
      <c r="AI196" s="50"/>
      <c r="BD196" s="20"/>
      <c r="BE196" s="19"/>
      <c r="BF196" s="19"/>
      <c r="BG196" s="19"/>
      <c r="BH196" s="19"/>
      <c r="BI196" s="19"/>
      <c r="BJ196" s="19"/>
      <c r="BK196" s="19"/>
      <c r="BL196" s="19"/>
      <c r="BM196" s="18"/>
      <c r="BN196" s="19"/>
      <c r="BP196" s="19"/>
      <c r="BQ196" s="19"/>
      <c r="BR196" s="19"/>
      <c r="BS196" s="19"/>
      <c r="BT196" s="19"/>
      <c r="BU196" s="19"/>
      <c r="BV196" s="19"/>
      <c r="BW196" s="19"/>
      <c r="BX196" s="19"/>
      <c r="BY196" s="19"/>
      <c r="BZ196" s="19"/>
      <c r="CA196" s="19"/>
      <c r="CB196" s="19"/>
      <c r="CC196" s="19"/>
      <c r="CD196" s="19"/>
      <c r="CE196" s="19"/>
      <c r="CF196" s="44"/>
      <c r="CG196" s="44"/>
      <c r="CH196" s="44"/>
      <c r="CI196" s="44"/>
      <c r="CJ196" s="50"/>
      <c r="CK196" s="50"/>
    </row>
    <row r="197" spans="3:89" hidden="1" x14ac:dyDescent="0.3">
      <c r="C197" s="19"/>
      <c r="D197" s="19"/>
      <c r="E197" s="19"/>
      <c r="F197" s="19"/>
      <c r="G197" s="19"/>
      <c r="H197" s="19"/>
      <c r="I197" s="19"/>
      <c r="J197" s="19"/>
      <c r="K197" s="19" t="s">
        <v>120</v>
      </c>
      <c r="L197" s="19"/>
      <c r="M197" s="21" t="str">
        <f>""</f>
        <v/>
      </c>
      <c r="N197" s="19"/>
      <c r="O197" s="19"/>
      <c r="P197" s="19"/>
      <c r="Q197" s="19"/>
      <c r="R197" s="19"/>
      <c r="S197" s="19"/>
      <c r="T197" s="19"/>
      <c r="U197" s="19"/>
      <c r="V197" s="19"/>
      <c r="W197" s="19"/>
      <c r="X197" s="19"/>
      <c r="Y197" s="19"/>
      <c r="Z197" s="19"/>
      <c r="AA197" s="19"/>
      <c r="AB197" s="19"/>
      <c r="AC197" s="19"/>
      <c r="AD197" s="44"/>
      <c r="AE197" s="44"/>
      <c r="AF197" s="44"/>
      <c r="AG197" s="44"/>
      <c r="AH197" s="50"/>
      <c r="AI197" s="50"/>
      <c r="BD197" s="20"/>
      <c r="BE197" s="19"/>
      <c r="BF197" s="19"/>
      <c r="BG197" s="19"/>
      <c r="BH197" s="19"/>
      <c r="BI197" s="19"/>
      <c r="BJ197" s="19"/>
      <c r="BK197" s="19"/>
      <c r="BL197" s="19"/>
      <c r="BM197" s="18"/>
      <c r="BN197" s="19"/>
      <c r="BP197" s="19"/>
      <c r="BQ197" s="19"/>
      <c r="BR197" s="19"/>
      <c r="BS197" s="19"/>
      <c r="BT197" s="19"/>
      <c r="BU197" s="19"/>
      <c r="BV197" s="19"/>
      <c r="BW197" s="19"/>
      <c r="BX197" s="19"/>
      <c r="BY197" s="19"/>
      <c r="BZ197" s="19"/>
      <c r="CA197" s="19"/>
      <c r="CB197" s="19"/>
      <c r="CC197" s="19"/>
      <c r="CD197" s="19"/>
      <c r="CE197" s="19"/>
      <c r="CF197" s="44"/>
      <c r="CG197" s="44"/>
      <c r="CH197" s="44"/>
      <c r="CI197" s="44"/>
      <c r="CJ197" s="50"/>
      <c r="CK197" s="50"/>
    </row>
    <row r="198" spans="3:89" hidden="1" x14ac:dyDescent="0.3">
      <c r="C198" s="19"/>
      <c r="D198" s="19"/>
      <c r="E198" s="19"/>
      <c r="F198" s="19"/>
      <c r="G198" s="19"/>
      <c r="H198" s="19"/>
      <c r="I198" s="19"/>
      <c r="J198" s="19"/>
      <c r="K198" s="18" t="s">
        <v>1068</v>
      </c>
      <c r="L198" s="19"/>
      <c r="M198" s="21" t="str">
        <f>""</f>
        <v/>
      </c>
      <c r="N198" s="19"/>
      <c r="O198" s="19"/>
      <c r="P198" s="19"/>
      <c r="Q198" s="19"/>
      <c r="R198" s="19"/>
      <c r="S198" s="19"/>
      <c r="T198" s="19"/>
      <c r="U198" s="19"/>
      <c r="V198" s="19"/>
      <c r="W198" s="19"/>
      <c r="X198" s="19"/>
      <c r="Y198" s="19"/>
      <c r="Z198" s="19"/>
      <c r="AA198" s="19"/>
      <c r="AB198" s="19"/>
      <c r="AC198" s="19"/>
      <c r="AD198" s="44"/>
      <c r="AE198" s="44"/>
      <c r="AF198" s="44"/>
      <c r="AG198" s="44"/>
      <c r="AH198" s="50"/>
      <c r="AI198" s="50"/>
      <c r="BD198" s="20"/>
      <c r="BE198" s="19"/>
      <c r="BF198" s="19"/>
      <c r="BG198" s="19"/>
      <c r="BH198" s="19"/>
      <c r="BI198" s="19"/>
      <c r="BJ198" s="19"/>
      <c r="BK198" s="19"/>
      <c r="BL198" s="19"/>
      <c r="BM198" s="18"/>
      <c r="BN198" s="19"/>
      <c r="BP198" s="19"/>
      <c r="BQ198" s="19"/>
      <c r="BR198" s="19"/>
      <c r="BS198" s="19"/>
      <c r="BT198" s="19"/>
      <c r="BU198" s="19"/>
      <c r="BV198" s="19"/>
      <c r="BW198" s="19"/>
      <c r="BX198" s="19"/>
      <c r="BY198" s="19"/>
      <c r="BZ198" s="19"/>
      <c r="CA198" s="19"/>
      <c r="CB198" s="19"/>
      <c r="CC198" s="19"/>
      <c r="CD198" s="19"/>
      <c r="CE198" s="19"/>
      <c r="CF198" s="44"/>
      <c r="CG198" s="44"/>
      <c r="CH198" s="44"/>
      <c r="CI198" s="44"/>
      <c r="CJ198" s="50"/>
      <c r="CK198" s="50"/>
    </row>
    <row r="199" spans="3:89" hidden="1" x14ac:dyDescent="0.3">
      <c r="C199" s="19"/>
      <c r="D199" s="19"/>
      <c r="E199" s="19"/>
      <c r="F199" s="19"/>
      <c r="G199" s="19"/>
      <c r="H199" s="19"/>
      <c r="I199" s="19"/>
      <c r="J199" s="19"/>
      <c r="K199" s="18" t="s">
        <v>121</v>
      </c>
      <c r="L199" s="19"/>
      <c r="M199" s="21" t="str">
        <f>""</f>
        <v/>
      </c>
      <c r="N199" s="19"/>
      <c r="O199" s="19"/>
      <c r="P199" s="19"/>
      <c r="Q199" s="19"/>
      <c r="R199" s="19"/>
      <c r="S199" s="19"/>
      <c r="T199" s="19"/>
      <c r="U199" s="19"/>
      <c r="V199" s="19"/>
      <c r="W199" s="19"/>
      <c r="X199" s="19"/>
      <c r="Y199" s="19"/>
      <c r="Z199" s="19"/>
      <c r="AA199" s="19"/>
      <c r="AB199" s="19"/>
      <c r="AC199" s="19"/>
      <c r="AD199" s="44"/>
      <c r="AE199" s="44"/>
      <c r="AF199" s="44"/>
      <c r="AG199" s="44"/>
      <c r="AH199" s="50"/>
      <c r="AI199" s="50"/>
      <c r="BD199" s="20"/>
      <c r="BE199" s="19"/>
      <c r="BF199" s="19"/>
      <c r="BG199" s="19"/>
      <c r="BH199" s="19"/>
      <c r="BI199" s="19"/>
      <c r="BJ199" s="19"/>
      <c r="BK199" s="19"/>
      <c r="BL199" s="19"/>
      <c r="BM199" s="18"/>
      <c r="BN199" s="19"/>
      <c r="BP199" s="19"/>
      <c r="BQ199" s="19"/>
      <c r="BR199" s="19"/>
      <c r="BS199" s="19"/>
      <c r="BT199" s="19"/>
      <c r="BU199" s="19"/>
      <c r="BV199" s="19"/>
      <c r="BW199" s="19"/>
      <c r="BX199" s="19"/>
      <c r="BY199" s="19"/>
      <c r="BZ199" s="19"/>
      <c r="CA199" s="19"/>
      <c r="CB199" s="19"/>
      <c r="CC199" s="19"/>
      <c r="CD199" s="19"/>
      <c r="CE199" s="19"/>
      <c r="CF199" s="44"/>
      <c r="CG199" s="44"/>
      <c r="CH199" s="44"/>
      <c r="CI199" s="44"/>
      <c r="CJ199" s="50"/>
      <c r="CK199" s="50"/>
    </row>
    <row r="200" spans="3:89" hidden="1" x14ac:dyDescent="0.3">
      <c r="C200" s="19"/>
      <c r="D200" s="19"/>
      <c r="E200" s="19"/>
      <c r="F200" s="19"/>
      <c r="G200" s="19"/>
      <c r="H200" s="19"/>
      <c r="I200" s="19"/>
      <c r="J200" s="19"/>
      <c r="K200" s="18" t="s">
        <v>122</v>
      </c>
      <c r="L200" s="19"/>
      <c r="M200" s="21" t="str">
        <f>""</f>
        <v/>
      </c>
      <c r="N200" s="19"/>
      <c r="O200" s="19"/>
      <c r="P200" s="19"/>
      <c r="Q200" s="19"/>
      <c r="R200" s="19"/>
      <c r="S200" s="19"/>
      <c r="T200" s="19"/>
      <c r="U200" s="19"/>
      <c r="V200" s="19"/>
      <c r="W200" s="19"/>
      <c r="X200" s="19"/>
      <c r="Y200" s="19"/>
      <c r="Z200" s="19"/>
      <c r="AA200" s="19"/>
      <c r="AB200" s="19"/>
      <c r="AC200" s="19"/>
      <c r="AD200" s="44"/>
      <c r="AE200" s="44"/>
      <c r="AF200" s="44"/>
      <c r="AG200" s="44"/>
      <c r="AH200" s="50"/>
      <c r="AI200" s="50"/>
      <c r="BD200" s="20"/>
      <c r="BE200" s="19"/>
      <c r="BF200" s="19"/>
      <c r="BG200" s="19"/>
      <c r="BH200" s="19"/>
      <c r="BI200" s="19"/>
      <c r="BJ200" s="19"/>
      <c r="BK200" s="19"/>
      <c r="BL200" s="19"/>
      <c r="BM200" s="18"/>
      <c r="BN200" s="19"/>
      <c r="BP200" s="19"/>
      <c r="BQ200" s="19"/>
      <c r="BR200" s="19"/>
      <c r="BS200" s="19"/>
      <c r="BT200" s="19"/>
      <c r="BU200" s="19"/>
      <c r="BV200" s="19"/>
      <c r="BW200" s="19"/>
      <c r="BX200" s="19"/>
      <c r="BY200" s="19"/>
      <c r="BZ200" s="19"/>
      <c r="CA200" s="19"/>
      <c r="CB200" s="19"/>
      <c r="CC200" s="19"/>
      <c r="CD200" s="19"/>
      <c r="CE200" s="19"/>
      <c r="CF200" s="44"/>
      <c r="CG200" s="44"/>
      <c r="CH200" s="44"/>
      <c r="CI200" s="44"/>
      <c r="CJ200" s="50"/>
      <c r="CK200" s="50"/>
    </row>
    <row r="201" spans="3:89" hidden="1" x14ac:dyDescent="0.3">
      <c r="C201" s="19"/>
      <c r="D201" s="19"/>
      <c r="E201" s="19"/>
      <c r="F201" s="19"/>
      <c r="G201" s="19"/>
      <c r="H201" s="19"/>
      <c r="I201" s="19"/>
      <c r="J201" s="19"/>
      <c r="K201" s="18" t="s">
        <v>1063</v>
      </c>
      <c r="L201" s="19"/>
      <c r="M201" s="21" t="str">
        <f>""</f>
        <v/>
      </c>
      <c r="N201" s="19"/>
      <c r="O201" s="19"/>
      <c r="P201" s="19"/>
      <c r="Q201" s="19"/>
      <c r="R201" s="19"/>
      <c r="S201" s="19"/>
      <c r="T201" s="19"/>
      <c r="U201" s="19"/>
      <c r="V201" s="19"/>
      <c r="W201" s="19"/>
      <c r="X201" s="19"/>
      <c r="Y201" s="19"/>
      <c r="Z201" s="19"/>
      <c r="AA201" s="19"/>
      <c r="AB201" s="19"/>
      <c r="AC201" s="19"/>
      <c r="AD201" s="44"/>
      <c r="AE201" s="44"/>
      <c r="AF201" s="44"/>
      <c r="AG201" s="44"/>
      <c r="AH201" s="50"/>
      <c r="AI201" s="50"/>
      <c r="BD201" s="20"/>
      <c r="BE201" s="19"/>
      <c r="BF201" s="19"/>
      <c r="BG201" s="19"/>
      <c r="BH201" s="19"/>
      <c r="BI201" s="19"/>
      <c r="BJ201" s="19"/>
      <c r="BK201" s="19"/>
      <c r="BL201" s="19"/>
      <c r="BM201" s="18"/>
      <c r="BN201" s="19"/>
      <c r="BP201" s="19"/>
      <c r="BQ201" s="19"/>
      <c r="BR201" s="19"/>
      <c r="BS201" s="19"/>
      <c r="BT201" s="19"/>
      <c r="BU201" s="19"/>
      <c r="BV201" s="19"/>
      <c r="BW201" s="19"/>
      <c r="BX201" s="19"/>
      <c r="BY201" s="19"/>
      <c r="BZ201" s="19"/>
      <c r="CA201" s="19"/>
      <c r="CB201" s="19"/>
      <c r="CC201" s="19"/>
      <c r="CD201" s="19"/>
      <c r="CE201" s="19"/>
      <c r="CF201" s="44"/>
      <c r="CG201" s="44"/>
      <c r="CH201" s="44"/>
      <c r="CI201" s="44"/>
      <c r="CJ201" s="50"/>
      <c r="CK201" s="50"/>
    </row>
    <row r="202" spans="3:89" hidden="1" x14ac:dyDescent="0.3">
      <c r="C202" s="19"/>
      <c r="D202" s="19"/>
      <c r="E202" s="19"/>
      <c r="F202" s="19"/>
      <c r="G202" s="19"/>
      <c r="H202" s="19"/>
      <c r="I202" s="19"/>
      <c r="J202" s="19"/>
      <c r="K202" s="19" t="s">
        <v>123</v>
      </c>
      <c r="L202" s="19"/>
      <c r="M202" s="21" t="str">
        <f>""</f>
        <v/>
      </c>
      <c r="N202" s="19"/>
      <c r="O202" s="19"/>
      <c r="P202" s="19"/>
      <c r="Q202" s="19"/>
      <c r="R202" s="19"/>
      <c r="S202" s="19"/>
      <c r="T202" s="19"/>
      <c r="U202" s="19"/>
      <c r="V202" s="19"/>
      <c r="W202" s="19"/>
      <c r="X202" s="19"/>
      <c r="Y202" s="19"/>
      <c r="Z202" s="19"/>
      <c r="AA202" s="19"/>
      <c r="AB202" s="19"/>
      <c r="AC202" s="19"/>
      <c r="AD202" s="44"/>
      <c r="AE202" s="44"/>
      <c r="AF202" s="44"/>
      <c r="AG202" s="44"/>
      <c r="AH202" s="50"/>
      <c r="AI202" s="50"/>
      <c r="BD202" s="20"/>
      <c r="BE202" s="19"/>
      <c r="BF202" s="19"/>
      <c r="BG202" s="19"/>
      <c r="BH202" s="19"/>
      <c r="BI202" s="19"/>
      <c r="BJ202" s="19"/>
      <c r="BK202" s="19"/>
      <c r="BL202" s="19"/>
      <c r="BM202" s="19"/>
      <c r="BN202" s="19"/>
      <c r="BP202" s="19"/>
      <c r="BQ202" s="19"/>
      <c r="BR202" s="19"/>
      <c r="BS202" s="19"/>
      <c r="BT202" s="19"/>
      <c r="BU202" s="19"/>
      <c r="BV202" s="19"/>
      <c r="BW202" s="19"/>
      <c r="BX202" s="19"/>
      <c r="BY202" s="19"/>
      <c r="BZ202" s="19"/>
      <c r="CA202" s="19"/>
      <c r="CB202" s="19"/>
      <c r="CC202" s="19"/>
      <c r="CD202" s="19"/>
      <c r="CE202" s="19"/>
      <c r="CF202" s="44"/>
      <c r="CG202" s="44"/>
      <c r="CH202" s="44"/>
      <c r="CI202" s="44"/>
      <c r="CJ202" s="50"/>
      <c r="CK202" s="50"/>
    </row>
    <row r="203" spans="3:89" hidden="1" x14ac:dyDescent="0.3">
      <c r="C203" s="19"/>
      <c r="D203" s="19"/>
      <c r="E203" s="19"/>
      <c r="F203" s="19"/>
      <c r="G203" s="19"/>
      <c r="H203" s="19"/>
      <c r="I203" s="19"/>
      <c r="J203" s="19"/>
      <c r="K203" s="19" t="s">
        <v>124</v>
      </c>
      <c r="L203" s="19"/>
      <c r="M203" s="21" t="str">
        <f>""</f>
        <v/>
      </c>
      <c r="N203" s="19"/>
      <c r="O203" s="19"/>
      <c r="P203" s="19"/>
      <c r="Q203" s="19"/>
      <c r="R203" s="19"/>
      <c r="S203" s="19"/>
      <c r="T203" s="19"/>
      <c r="U203" s="19"/>
      <c r="V203" s="19"/>
      <c r="W203" s="19"/>
      <c r="X203" s="19"/>
      <c r="Y203" s="19"/>
      <c r="Z203" s="19"/>
      <c r="AA203" s="19"/>
      <c r="AB203" s="19"/>
      <c r="AC203" s="19"/>
      <c r="AD203" s="44"/>
      <c r="AE203" s="44"/>
      <c r="AF203" s="44"/>
      <c r="AG203" s="44"/>
      <c r="AH203" s="50"/>
      <c r="AI203" s="50"/>
      <c r="BD203" s="20"/>
      <c r="BE203" s="19"/>
      <c r="BF203" s="19"/>
      <c r="BG203" s="19"/>
      <c r="BH203" s="19"/>
      <c r="BI203" s="19"/>
      <c r="BJ203" s="19"/>
      <c r="BK203" s="19"/>
      <c r="BL203" s="19"/>
      <c r="BM203" s="19"/>
      <c r="BN203" s="19"/>
      <c r="BP203" s="19"/>
      <c r="BQ203" s="19"/>
      <c r="BR203" s="19"/>
      <c r="BS203" s="19"/>
      <c r="BT203" s="19"/>
      <c r="BU203" s="19"/>
      <c r="BV203" s="19"/>
      <c r="BW203" s="19"/>
      <c r="BX203" s="19"/>
      <c r="BY203" s="19"/>
      <c r="BZ203" s="19"/>
      <c r="CA203" s="19"/>
      <c r="CB203" s="19"/>
      <c r="CC203" s="19"/>
      <c r="CD203" s="19"/>
      <c r="CE203" s="19"/>
      <c r="CF203" s="44"/>
      <c r="CG203" s="44"/>
      <c r="CH203" s="44"/>
      <c r="CI203" s="44"/>
      <c r="CJ203" s="50"/>
      <c r="CK203" s="50"/>
    </row>
    <row r="204" spans="3:89" hidden="1" x14ac:dyDescent="0.3">
      <c r="C204" s="19"/>
      <c r="D204" s="19"/>
      <c r="E204" s="19"/>
      <c r="F204" s="19"/>
      <c r="G204" s="19"/>
      <c r="H204" s="19"/>
      <c r="I204" s="19"/>
      <c r="J204" s="19"/>
      <c r="K204" s="19" t="s">
        <v>125</v>
      </c>
      <c r="L204" s="19"/>
      <c r="M204" s="21" t="str">
        <f>""</f>
        <v/>
      </c>
      <c r="N204" s="19"/>
      <c r="O204" s="19"/>
      <c r="P204" s="19"/>
      <c r="Q204" s="19"/>
      <c r="R204" s="19"/>
      <c r="S204" s="19"/>
      <c r="T204" s="19"/>
      <c r="U204" s="19"/>
      <c r="V204" s="19"/>
      <c r="W204" s="19"/>
      <c r="X204" s="19"/>
      <c r="Y204" s="19"/>
      <c r="Z204" s="19"/>
      <c r="AA204" s="19"/>
      <c r="AB204" s="19"/>
      <c r="AC204" s="19"/>
      <c r="AD204" s="44"/>
      <c r="AE204" s="44"/>
      <c r="AF204" s="44"/>
      <c r="AG204" s="44"/>
      <c r="AH204" s="50"/>
      <c r="AI204" s="50"/>
      <c r="BD204" s="20"/>
      <c r="BE204" s="19"/>
      <c r="BF204" s="19"/>
      <c r="BG204" s="19"/>
      <c r="BH204" s="19"/>
      <c r="BI204" s="19"/>
      <c r="BJ204" s="19"/>
      <c r="BK204" s="19"/>
      <c r="BL204" s="19"/>
      <c r="BM204" s="18"/>
      <c r="BN204" s="19"/>
      <c r="BP204" s="19"/>
      <c r="BQ204" s="19"/>
      <c r="BR204" s="19"/>
      <c r="BS204" s="19"/>
      <c r="BT204" s="19"/>
      <c r="BU204" s="19"/>
      <c r="BV204" s="19"/>
      <c r="BW204" s="19"/>
      <c r="BX204" s="19"/>
      <c r="BY204" s="19"/>
      <c r="BZ204" s="19"/>
      <c r="CA204" s="19"/>
      <c r="CB204" s="19"/>
      <c r="CC204" s="19"/>
      <c r="CD204" s="19"/>
      <c r="CE204" s="19"/>
      <c r="CF204" s="44"/>
      <c r="CG204" s="44"/>
      <c r="CH204" s="44"/>
      <c r="CI204" s="44"/>
      <c r="CJ204" s="50"/>
      <c r="CK204" s="50"/>
    </row>
    <row r="205" spans="3:89" hidden="1" x14ac:dyDescent="0.3">
      <c r="C205" s="19"/>
      <c r="D205" s="19"/>
      <c r="E205" s="19"/>
      <c r="F205" s="19"/>
      <c r="G205" s="19"/>
      <c r="H205" s="19"/>
      <c r="I205" s="19"/>
      <c r="J205" s="19"/>
      <c r="K205" s="18" t="s">
        <v>126</v>
      </c>
      <c r="L205" s="19"/>
      <c r="M205" s="21" t="str">
        <f>""</f>
        <v/>
      </c>
      <c r="N205" s="19"/>
      <c r="O205" s="19"/>
      <c r="P205" s="19"/>
      <c r="Q205" s="19"/>
      <c r="R205" s="19"/>
      <c r="S205" s="19"/>
      <c r="T205" s="19"/>
      <c r="U205" s="19"/>
      <c r="V205" s="19"/>
      <c r="W205" s="19"/>
      <c r="X205" s="19"/>
      <c r="Y205" s="19"/>
      <c r="Z205" s="19"/>
      <c r="AA205" s="19"/>
      <c r="AB205" s="19"/>
      <c r="AC205" s="19"/>
      <c r="AD205" s="44"/>
      <c r="AE205" s="44"/>
      <c r="AF205" s="44"/>
      <c r="AG205" s="44"/>
      <c r="AH205" s="50"/>
      <c r="AI205" s="50"/>
      <c r="BD205" s="20"/>
      <c r="BE205" s="19"/>
      <c r="BF205" s="19"/>
      <c r="BG205" s="19"/>
      <c r="BH205" s="19"/>
      <c r="BI205" s="19"/>
      <c r="BJ205" s="19"/>
      <c r="BK205" s="19"/>
      <c r="BL205" s="19"/>
      <c r="BM205" s="19"/>
      <c r="BN205" s="19"/>
      <c r="BP205" s="19"/>
      <c r="BQ205" s="19"/>
      <c r="BR205" s="19"/>
      <c r="BS205" s="19"/>
      <c r="BT205" s="19"/>
      <c r="BU205" s="19"/>
      <c r="BV205" s="19"/>
      <c r="BW205" s="19"/>
      <c r="BX205" s="19"/>
      <c r="BY205" s="19"/>
      <c r="BZ205" s="19"/>
      <c r="CA205" s="19"/>
      <c r="CB205" s="19"/>
      <c r="CC205" s="19"/>
      <c r="CD205" s="19"/>
      <c r="CE205" s="19"/>
      <c r="CF205" s="44"/>
      <c r="CG205" s="44"/>
      <c r="CH205" s="44"/>
      <c r="CI205" s="44"/>
      <c r="CJ205" s="50"/>
      <c r="CK205" s="50"/>
    </row>
    <row r="206" spans="3:89" hidden="1" x14ac:dyDescent="0.3">
      <c r="C206" s="19"/>
      <c r="D206" s="19"/>
      <c r="E206" s="19"/>
      <c r="F206" s="19"/>
      <c r="G206" s="19"/>
      <c r="H206" s="19"/>
      <c r="I206" s="19"/>
      <c r="J206" s="19"/>
      <c r="K206" s="18" t="s">
        <v>127</v>
      </c>
      <c r="L206" s="19"/>
      <c r="M206" s="21" t="str">
        <f>""</f>
        <v/>
      </c>
      <c r="N206" s="19"/>
      <c r="O206" s="19"/>
      <c r="P206" s="19"/>
      <c r="Q206" s="19"/>
      <c r="R206" s="19"/>
      <c r="S206" s="19"/>
      <c r="T206" s="19"/>
      <c r="U206" s="19"/>
      <c r="V206" s="19"/>
      <c r="W206" s="19"/>
      <c r="X206" s="19"/>
      <c r="Y206" s="19"/>
      <c r="Z206" s="19"/>
      <c r="AA206" s="19"/>
      <c r="AB206" s="19"/>
      <c r="AC206" s="19"/>
      <c r="AD206" s="44"/>
      <c r="AE206" s="44"/>
      <c r="AF206" s="44"/>
      <c r="AG206" s="44"/>
      <c r="AH206" s="50"/>
      <c r="AI206" s="50"/>
      <c r="BD206" s="20"/>
      <c r="BE206" s="19"/>
      <c r="BF206" s="19"/>
      <c r="BG206" s="19"/>
      <c r="BH206" s="19"/>
      <c r="BI206" s="19"/>
      <c r="BJ206" s="19"/>
      <c r="BK206" s="19"/>
      <c r="BL206" s="19"/>
      <c r="BM206" s="19"/>
      <c r="BN206" s="19"/>
      <c r="BP206" s="19"/>
      <c r="BQ206" s="19"/>
      <c r="BR206" s="19"/>
      <c r="BS206" s="19"/>
      <c r="BT206" s="19"/>
      <c r="BU206" s="19"/>
      <c r="BV206" s="19"/>
      <c r="BW206" s="19"/>
      <c r="BX206" s="19"/>
      <c r="BY206" s="19"/>
      <c r="BZ206" s="19"/>
      <c r="CA206" s="19"/>
      <c r="CB206" s="19"/>
      <c r="CC206" s="19"/>
      <c r="CD206" s="19"/>
      <c r="CE206" s="19"/>
      <c r="CF206" s="44"/>
      <c r="CG206" s="44"/>
      <c r="CH206" s="44"/>
      <c r="CI206" s="44"/>
      <c r="CJ206" s="50"/>
      <c r="CK206" s="50"/>
    </row>
    <row r="207" spans="3:89" hidden="1" x14ac:dyDescent="0.3">
      <c r="C207" s="19"/>
      <c r="D207" s="19"/>
      <c r="E207" s="19"/>
      <c r="F207" s="19"/>
      <c r="G207" s="19"/>
      <c r="H207" s="19"/>
      <c r="I207" s="19"/>
      <c r="J207" s="19"/>
      <c r="K207" s="18" t="s">
        <v>128</v>
      </c>
      <c r="L207" s="19"/>
      <c r="M207" s="21" t="str">
        <f>""</f>
        <v/>
      </c>
      <c r="N207" s="19"/>
      <c r="O207" s="19"/>
      <c r="P207" s="19"/>
      <c r="Q207" s="19"/>
      <c r="R207" s="19"/>
      <c r="S207" s="19"/>
      <c r="T207" s="19"/>
      <c r="U207" s="19"/>
      <c r="V207" s="19"/>
      <c r="W207" s="19"/>
      <c r="X207" s="19"/>
      <c r="Y207" s="19"/>
      <c r="Z207" s="19"/>
      <c r="AA207" s="19"/>
      <c r="AB207" s="19"/>
      <c r="AC207" s="19"/>
      <c r="AD207" s="44"/>
      <c r="AE207" s="44"/>
      <c r="AF207" s="44"/>
      <c r="AG207" s="44"/>
      <c r="AH207" s="50"/>
      <c r="AI207" s="50"/>
      <c r="BD207" s="20"/>
      <c r="BE207" s="19"/>
      <c r="BF207" s="19"/>
      <c r="BG207" s="19"/>
      <c r="BH207" s="19"/>
      <c r="BI207" s="19"/>
      <c r="BJ207" s="19"/>
      <c r="BK207" s="19"/>
      <c r="BL207" s="19"/>
      <c r="BM207" s="19"/>
      <c r="BN207" s="19"/>
      <c r="BP207" s="19"/>
      <c r="BQ207" s="19"/>
      <c r="BR207" s="19"/>
      <c r="BS207" s="19"/>
      <c r="BT207" s="19"/>
      <c r="BU207" s="19"/>
      <c r="BV207" s="19"/>
      <c r="BW207" s="19"/>
      <c r="BX207" s="19"/>
      <c r="BY207" s="19"/>
      <c r="BZ207" s="19"/>
      <c r="CA207" s="19"/>
      <c r="CB207" s="19"/>
      <c r="CC207" s="19"/>
      <c r="CD207" s="19"/>
      <c r="CE207" s="19"/>
      <c r="CF207" s="44"/>
      <c r="CG207" s="44"/>
      <c r="CH207" s="44"/>
      <c r="CI207" s="44"/>
      <c r="CJ207" s="50"/>
      <c r="CK207" s="50"/>
    </row>
    <row r="208" spans="3:89" hidden="1" x14ac:dyDescent="0.3">
      <c r="C208" s="19"/>
      <c r="D208" s="19"/>
      <c r="E208" s="19"/>
      <c r="F208" s="19"/>
      <c r="G208" s="19"/>
      <c r="H208" s="19"/>
      <c r="I208" s="19"/>
      <c r="J208" s="19"/>
      <c r="K208" s="18" t="s">
        <v>129</v>
      </c>
      <c r="L208" s="19"/>
      <c r="M208" s="21" t="str">
        <f>""</f>
        <v/>
      </c>
      <c r="N208" s="19"/>
      <c r="O208" s="19"/>
      <c r="P208" s="19"/>
      <c r="Q208" s="19"/>
      <c r="R208" s="19"/>
      <c r="S208" s="19"/>
      <c r="T208" s="19"/>
      <c r="U208" s="19"/>
      <c r="V208" s="19"/>
      <c r="W208" s="19"/>
      <c r="X208" s="19"/>
      <c r="Y208" s="19"/>
      <c r="Z208" s="19"/>
      <c r="AA208" s="19"/>
      <c r="AB208" s="19"/>
      <c r="AC208" s="19"/>
      <c r="AD208" s="44"/>
      <c r="AE208" s="44"/>
      <c r="AF208" s="44"/>
      <c r="AG208" s="44"/>
      <c r="AH208" s="50"/>
      <c r="AI208" s="50"/>
      <c r="BD208" s="20"/>
      <c r="BE208" s="19"/>
      <c r="BF208" s="19"/>
      <c r="BG208" s="19"/>
      <c r="BH208" s="19"/>
      <c r="BI208" s="19"/>
      <c r="BJ208" s="19"/>
      <c r="BK208" s="19"/>
      <c r="BL208" s="19"/>
      <c r="BM208" s="18"/>
      <c r="BN208" s="19"/>
      <c r="BP208" s="19"/>
      <c r="BQ208" s="19"/>
      <c r="BR208" s="19"/>
      <c r="BS208" s="19"/>
      <c r="BT208" s="19"/>
      <c r="BU208" s="19"/>
      <c r="BV208" s="19"/>
      <c r="BW208" s="19"/>
      <c r="BX208" s="19"/>
      <c r="BY208" s="19"/>
      <c r="BZ208" s="19"/>
      <c r="CA208" s="19"/>
      <c r="CB208" s="19"/>
      <c r="CC208" s="19"/>
      <c r="CD208" s="19"/>
      <c r="CE208" s="19"/>
      <c r="CF208" s="44"/>
      <c r="CG208" s="44"/>
      <c r="CH208" s="44"/>
      <c r="CI208" s="44"/>
      <c r="CJ208" s="50"/>
      <c r="CK208" s="50"/>
    </row>
    <row r="209" spans="3:89" hidden="1" x14ac:dyDescent="0.3">
      <c r="C209" s="19"/>
      <c r="D209" s="19"/>
      <c r="E209" s="19"/>
      <c r="F209" s="19"/>
      <c r="G209" s="19"/>
      <c r="H209" s="19"/>
      <c r="I209" s="19"/>
      <c r="J209" s="19"/>
      <c r="K209" s="18" t="s">
        <v>130</v>
      </c>
      <c r="L209" s="19"/>
      <c r="M209" s="21" t="str">
        <f>""</f>
        <v/>
      </c>
      <c r="N209" s="19"/>
      <c r="O209" s="19"/>
      <c r="P209" s="19"/>
      <c r="Q209" s="19"/>
      <c r="R209" s="19"/>
      <c r="S209" s="19"/>
      <c r="T209" s="19"/>
      <c r="U209" s="19"/>
      <c r="V209" s="19"/>
      <c r="W209" s="19"/>
      <c r="X209" s="19"/>
      <c r="Y209" s="19"/>
      <c r="Z209" s="19"/>
      <c r="AA209" s="19"/>
      <c r="AB209" s="19"/>
      <c r="AC209" s="19"/>
      <c r="AD209" s="44"/>
      <c r="AE209" s="44"/>
      <c r="AF209" s="44"/>
      <c r="AG209" s="44"/>
      <c r="AH209" s="50"/>
      <c r="AI209" s="50"/>
      <c r="BD209" s="20"/>
      <c r="BE209" s="19"/>
      <c r="BF209" s="19"/>
      <c r="BG209" s="19"/>
      <c r="BH209" s="19"/>
      <c r="BI209" s="19"/>
      <c r="BJ209" s="19"/>
      <c r="BK209" s="19"/>
      <c r="BL209" s="19"/>
      <c r="BM209" s="18"/>
      <c r="BN209" s="19"/>
      <c r="BP209" s="19"/>
      <c r="BQ209" s="19"/>
      <c r="BR209" s="19"/>
      <c r="BS209" s="19"/>
      <c r="BT209" s="19"/>
      <c r="BU209" s="19"/>
      <c r="BV209" s="19"/>
      <c r="BW209" s="19"/>
      <c r="BX209" s="19"/>
      <c r="BY209" s="19"/>
      <c r="BZ209" s="19"/>
      <c r="CA209" s="19"/>
      <c r="CB209" s="19"/>
      <c r="CC209" s="19"/>
      <c r="CD209" s="19"/>
      <c r="CE209" s="19"/>
      <c r="CF209" s="44"/>
      <c r="CG209" s="44"/>
      <c r="CH209" s="44"/>
      <c r="CI209" s="44"/>
      <c r="CJ209" s="50"/>
      <c r="CK209" s="50"/>
    </row>
    <row r="210" spans="3:89" hidden="1" x14ac:dyDescent="0.3">
      <c r="C210" s="19"/>
      <c r="D210" s="19"/>
      <c r="E210" s="19"/>
      <c r="F210" s="19"/>
      <c r="G210" s="19"/>
      <c r="H210" s="19"/>
      <c r="I210" s="19"/>
      <c r="J210" s="19"/>
      <c r="K210" s="18" t="s">
        <v>131</v>
      </c>
      <c r="L210" s="19"/>
      <c r="M210" s="21" t="str">
        <f>""</f>
        <v/>
      </c>
      <c r="N210" s="19"/>
      <c r="O210" s="19"/>
      <c r="P210" s="19"/>
      <c r="Q210" s="19"/>
      <c r="R210" s="19"/>
      <c r="S210" s="19"/>
      <c r="T210" s="19"/>
      <c r="U210" s="19"/>
      <c r="V210" s="19"/>
      <c r="W210" s="19"/>
      <c r="X210" s="19"/>
      <c r="Y210" s="19"/>
      <c r="Z210" s="19"/>
      <c r="AA210" s="19"/>
      <c r="AB210" s="19"/>
      <c r="AC210" s="19"/>
      <c r="AD210" s="44"/>
      <c r="AE210" s="44"/>
      <c r="AF210" s="44"/>
      <c r="AG210" s="44"/>
      <c r="AH210" s="50"/>
      <c r="AI210" s="50"/>
      <c r="BD210" s="20"/>
      <c r="BE210" s="19"/>
      <c r="BF210" s="19"/>
      <c r="BG210" s="19"/>
      <c r="BH210" s="19"/>
      <c r="BI210" s="19"/>
      <c r="BJ210" s="19"/>
      <c r="BK210" s="19"/>
      <c r="BL210" s="19"/>
      <c r="BM210" s="18"/>
      <c r="BN210" s="19"/>
      <c r="BP210" s="19"/>
      <c r="BQ210" s="19"/>
      <c r="BR210" s="19"/>
      <c r="BS210" s="19"/>
      <c r="BT210" s="19"/>
      <c r="BU210" s="19"/>
      <c r="BV210" s="19"/>
      <c r="BW210" s="19"/>
      <c r="BX210" s="19"/>
      <c r="BY210" s="19"/>
      <c r="BZ210" s="19"/>
      <c r="CA210" s="19"/>
      <c r="CB210" s="19"/>
      <c r="CC210" s="19"/>
      <c r="CD210" s="19"/>
      <c r="CE210" s="19"/>
      <c r="CF210" s="44"/>
      <c r="CG210" s="44"/>
      <c r="CH210" s="44"/>
      <c r="CI210" s="44"/>
      <c r="CJ210" s="50"/>
      <c r="CK210" s="50"/>
    </row>
    <row r="211" spans="3:89" hidden="1" x14ac:dyDescent="0.3">
      <c r="C211" s="19"/>
      <c r="D211" s="19"/>
      <c r="E211" s="19"/>
      <c r="F211" s="19"/>
      <c r="G211" s="19"/>
      <c r="H211" s="19"/>
      <c r="I211" s="19"/>
      <c r="J211" s="19"/>
      <c r="K211" s="18" t="s">
        <v>132</v>
      </c>
      <c r="L211" s="19"/>
      <c r="M211" s="21" t="str">
        <f>""</f>
        <v/>
      </c>
      <c r="N211" s="19"/>
      <c r="O211" s="19"/>
      <c r="P211" s="19"/>
      <c r="Q211" s="19"/>
      <c r="R211" s="19"/>
      <c r="S211" s="19"/>
      <c r="T211" s="19"/>
      <c r="U211" s="19"/>
      <c r="V211" s="19"/>
      <c r="W211" s="19"/>
      <c r="X211" s="19"/>
      <c r="Y211" s="19"/>
      <c r="Z211" s="19"/>
      <c r="AA211" s="19"/>
      <c r="AB211" s="19"/>
      <c r="AC211" s="19"/>
      <c r="AD211" s="44"/>
      <c r="AE211" s="44"/>
      <c r="AF211" s="44"/>
      <c r="AG211" s="44"/>
      <c r="AH211" s="50"/>
      <c r="AI211" s="50"/>
      <c r="BD211" s="20"/>
      <c r="BE211" s="19"/>
      <c r="BF211" s="19"/>
      <c r="BG211" s="19"/>
      <c r="BH211" s="19"/>
      <c r="BI211" s="19"/>
      <c r="BJ211" s="19"/>
      <c r="BK211" s="19"/>
      <c r="BL211" s="19"/>
      <c r="BM211" s="19"/>
      <c r="BN211" s="19"/>
      <c r="BP211" s="19"/>
      <c r="BQ211" s="19"/>
      <c r="BR211" s="19"/>
      <c r="BS211" s="19"/>
      <c r="BT211" s="19"/>
      <c r="BU211" s="19"/>
      <c r="BV211" s="19"/>
      <c r="BW211" s="19"/>
      <c r="BX211" s="19"/>
      <c r="BY211" s="19"/>
      <c r="BZ211" s="19"/>
      <c r="CA211" s="19"/>
      <c r="CB211" s="19"/>
      <c r="CC211" s="19"/>
      <c r="CD211" s="19"/>
      <c r="CE211" s="19"/>
      <c r="CF211" s="44"/>
      <c r="CG211" s="44"/>
      <c r="CH211" s="44"/>
      <c r="CI211" s="44"/>
      <c r="CJ211" s="50"/>
      <c r="CK211" s="50"/>
    </row>
    <row r="212" spans="3:89" hidden="1" x14ac:dyDescent="0.3">
      <c r="C212" s="19"/>
      <c r="D212" s="19"/>
      <c r="E212" s="19"/>
      <c r="F212" s="19"/>
      <c r="G212" s="19"/>
      <c r="H212" s="19"/>
      <c r="I212" s="19"/>
      <c r="J212" s="19"/>
      <c r="K212" s="18" t="s">
        <v>1064</v>
      </c>
      <c r="L212" s="19"/>
      <c r="M212" s="21" t="str">
        <f>""</f>
        <v/>
      </c>
      <c r="N212" s="19"/>
      <c r="O212" s="19"/>
      <c r="P212" s="19"/>
      <c r="Q212" s="19"/>
      <c r="R212" s="19"/>
      <c r="S212" s="19"/>
      <c r="T212" s="19"/>
      <c r="U212" s="19"/>
      <c r="V212" s="19"/>
      <c r="W212" s="19"/>
      <c r="X212" s="19"/>
      <c r="Y212" s="19"/>
      <c r="Z212" s="19"/>
      <c r="AA212" s="19"/>
      <c r="AB212" s="19"/>
      <c r="AC212" s="19"/>
      <c r="AD212" s="44"/>
      <c r="AE212" s="44"/>
      <c r="AF212" s="44"/>
      <c r="AG212" s="44"/>
      <c r="AH212" s="50"/>
      <c r="AI212" s="50"/>
      <c r="BD212" s="20"/>
      <c r="BE212" s="19"/>
      <c r="BF212" s="19"/>
      <c r="BG212" s="19"/>
      <c r="BH212" s="19"/>
      <c r="BI212" s="19"/>
      <c r="BJ212" s="19"/>
      <c r="BK212" s="19"/>
      <c r="BL212" s="19"/>
      <c r="BM212" s="19"/>
      <c r="BN212" s="19"/>
      <c r="BP212" s="19"/>
      <c r="BQ212" s="19"/>
      <c r="BR212" s="19"/>
      <c r="BS212" s="19"/>
      <c r="BT212" s="19"/>
      <c r="BU212" s="19"/>
      <c r="BV212" s="19"/>
      <c r="BW212" s="19"/>
      <c r="BX212" s="19"/>
      <c r="BY212" s="19"/>
      <c r="BZ212" s="19"/>
      <c r="CA212" s="19"/>
      <c r="CB212" s="19"/>
      <c r="CC212" s="19"/>
      <c r="CD212" s="19"/>
      <c r="CE212" s="19"/>
      <c r="CF212" s="44"/>
      <c r="CG212" s="44"/>
      <c r="CH212" s="44"/>
      <c r="CI212" s="44"/>
      <c r="CJ212" s="50"/>
      <c r="CK212" s="50"/>
    </row>
    <row r="213" spans="3:89" hidden="1" x14ac:dyDescent="0.3">
      <c r="C213" s="19"/>
      <c r="D213" s="19"/>
      <c r="E213" s="19"/>
      <c r="F213" s="19"/>
      <c r="G213" s="19"/>
      <c r="H213" s="19"/>
      <c r="I213" s="19"/>
      <c r="J213" s="19"/>
      <c r="K213" s="18" t="s">
        <v>133</v>
      </c>
      <c r="L213" s="19"/>
      <c r="M213" s="21" t="str">
        <f>""</f>
        <v/>
      </c>
      <c r="N213" s="19"/>
      <c r="O213" s="19"/>
      <c r="P213" s="19"/>
      <c r="Q213" s="19"/>
      <c r="R213" s="19"/>
      <c r="S213" s="19"/>
      <c r="T213" s="19"/>
      <c r="U213" s="19"/>
      <c r="V213" s="19"/>
      <c r="W213" s="19"/>
      <c r="X213" s="19"/>
      <c r="Y213" s="19"/>
      <c r="Z213" s="19"/>
      <c r="AA213" s="19"/>
      <c r="AB213" s="19"/>
      <c r="AC213" s="19"/>
      <c r="AD213" s="44"/>
      <c r="AE213" s="44"/>
      <c r="AF213" s="44"/>
      <c r="AG213" s="44"/>
      <c r="AH213" s="50"/>
      <c r="AI213" s="50"/>
      <c r="BD213" s="20"/>
      <c r="BE213" s="19"/>
      <c r="BF213" s="19"/>
      <c r="BG213" s="19"/>
      <c r="BH213" s="19"/>
      <c r="BI213" s="19"/>
      <c r="BJ213" s="19"/>
      <c r="BK213" s="19"/>
      <c r="BL213" s="19"/>
      <c r="BM213" s="19"/>
      <c r="BN213" s="19"/>
      <c r="BP213" s="19"/>
      <c r="BQ213" s="19"/>
      <c r="BR213" s="19"/>
      <c r="BS213" s="19"/>
      <c r="BT213" s="19"/>
      <c r="BU213" s="19"/>
      <c r="BV213" s="19"/>
      <c r="BW213" s="19"/>
      <c r="BX213" s="19"/>
      <c r="BY213" s="19"/>
      <c r="BZ213" s="19"/>
      <c r="CA213" s="19"/>
      <c r="CB213" s="19"/>
      <c r="CC213" s="19"/>
      <c r="CD213" s="19"/>
      <c r="CE213" s="19"/>
      <c r="CF213" s="44"/>
      <c r="CG213" s="44"/>
      <c r="CH213" s="44"/>
      <c r="CI213" s="44"/>
      <c r="CJ213" s="50"/>
      <c r="CK213" s="50"/>
    </row>
    <row r="214" spans="3:89" hidden="1" x14ac:dyDescent="0.3">
      <c r="C214" s="19"/>
      <c r="D214" s="19"/>
      <c r="E214" s="19"/>
      <c r="F214" s="19"/>
      <c r="G214" s="19"/>
      <c r="H214" s="19"/>
      <c r="I214" s="19"/>
      <c r="J214" s="19"/>
      <c r="K214" s="18" t="s">
        <v>134</v>
      </c>
      <c r="L214" s="19"/>
      <c r="M214" s="21" t="str">
        <f>""</f>
        <v/>
      </c>
      <c r="N214" s="19"/>
      <c r="O214" s="19"/>
      <c r="P214" s="19"/>
      <c r="Q214" s="19"/>
      <c r="R214" s="19"/>
      <c r="S214" s="19"/>
      <c r="T214" s="19"/>
      <c r="U214" s="19"/>
      <c r="V214" s="19"/>
      <c r="W214" s="19"/>
      <c r="X214" s="19"/>
      <c r="Y214" s="19"/>
      <c r="Z214" s="19"/>
      <c r="AA214" s="19"/>
      <c r="AB214" s="19"/>
      <c r="AC214" s="19"/>
      <c r="AD214" s="44"/>
      <c r="AE214" s="44"/>
      <c r="AF214" s="44"/>
      <c r="AG214" s="44"/>
      <c r="AH214" s="50"/>
      <c r="AI214" s="50"/>
      <c r="BD214" s="20"/>
      <c r="BE214" s="19"/>
      <c r="BF214" s="19"/>
      <c r="BG214" s="19"/>
      <c r="BH214" s="19"/>
      <c r="BI214" s="19"/>
      <c r="BJ214" s="19"/>
      <c r="BK214" s="19"/>
      <c r="BL214" s="19"/>
      <c r="BM214" s="19"/>
      <c r="BN214" s="19"/>
      <c r="BP214" s="19"/>
      <c r="BQ214" s="19"/>
      <c r="BR214" s="19"/>
      <c r="BS214" s="19"/>
      <c r="BT214" s="19"/>
      <c r="BU214" s="19"/>
      <c r="BV214" s="19"/>
      <c r="BW214" s="19"/>
      <c r="BX214" s="19"/>
      <c r="BY214" s="19"/>
      <c r="BZ214" s="19"/>
      <c r="CA214" s="19"/>
      <c r="CB214" s="19"/>
      <c r="CC214" s="19"/>
      <c r="CD214" s="19"/>
      <c r="CE214" s="19"/>
      <c r="CF214" s="44"/>
      <c r="CG214" s="44"/>
      <c r="CH214" s="44"/>
      <c r="CI214" s="44"/>
      <c r="CJ214" s="50"/>
      <c r="CK214" s="50"/>
    </row>
    <row r="215" spans="3:89" hidden="1" x14ac:dyDescent="0.3">
      <c r="C215" s="19"/>
      <c r="D215" s="19"/>
      <c r="E215" s="19"/>
      <c r="F215" s="19"/>
      <c r="G215" s="19"/>
      <c r="H215" s="19"/>
      <c r="I215" s="19"/>
      <c r="J215" s="19"/>
      <c r="K215" s="18" t="s">
        <v>135</v>
      </c>
      <c r="L215" s="19"/>
      <c r="M215" s="21" t="str">
        <f>""</f>
        <v/>
      </c>
      <c r="N215" s="19"/>
      <c r="O215" s="19"/>
      <c r="P215" s="19"/>
      <c r="Q215" s="19"/>
      <c r="R215" s="19"/>
      <c r="S215" s="19"/>
      <c r="T215" s="19"/>
      <c r="U215" s="19"/>
      <c r="V215" s="19"/>
      <c r="W215" s="19"/>
      <c r="X215" s="19"/>
      <c r="Y215" s="19"/>
      <c r="Z215" s="19"/>
      <c r="AA215" s="19"/>
      <c r="AB215" s="19"/>
      <c r="AC215" s="19"/>
      <c r="AD215" s="44"/>
      <c r="AE215" s="44"/>
      <c r="AF215" s="44"/>
      <c r="AG215" s="44"/>
      <c r="AH215" s="50"/>
      <c r="AI215" s="50"/>
      <c r="BD215" s="20"/>
      <c r="BE215" s="19"/>
      <c r="BF215" s="19"/>
      <c r="BG215" s="19"/>
      <c r="BH215" s="19"/>
      <c r="BI215" s="19"/>
      <c r="BJ215" s="19"/>
      <c r="BK215" s="19"/>
      <c r="BL215" s="19"/>
      <c r="BM215" s="19"/>
      <c r="BN215" s="19"/>
      <c r="BP215" s="19"/>
      <c r="BQ215" s="19"/>
      <c r="BR215" s="19"/>
      <c r="BS215" s="19"/>
      <c r="BT215" s="19"/>
      <c r="BU215" s="19"/>
      <c r="BV215" s="19"/>
      <c r="BW215" s="19"/>
      <c r="BX215" s="19"/>
      <c r="BY215" s="19"/>
      <c r="BZ215" s="19"/>
      <c r="CA215" s="19"/>
      <c r="CB215" s="19"/>
      <c r="CC215" s="19"/>
      <c r="CD215" s="19"/>
      <c r="CE215" s="19"/>
      <c r="CF215" s="44"/>
      <c r="CG215" s="44"/>
      <c r="CH215" s="44"/>
      <c r="CI215" s="44"/>
      <c r="CJ215" s="50"/>
      <c r="CK215" s="50"/>
    </row>
    <row r="216" spans="3:89" hidden="1" x14ac:dyDescent="0.3">
      <c r="C216" s="19"/>
      <c r="D216" s="19"/>
      <c r="E216" s="19"/>
      <c r="F216" s="19"/>
      <c r="G216" s="19"/>
      <c r="H216" s="19"/>
      <c r="I216" s="19"/>
      <c r="J216" s="19"/>
      <c r="K216" s="18" t="s">
        <v>136</v>
      </c>
      <c r="L216" s="19"/>
      <c r="M216" s="21" t="str">
        <f>""</f>
        <v/>
      </c>
      <c r="N216" s="19"/>
      <c r="O216" s="19"/>
      <c r="P216" s="19"/>
      <c r="Q216" s="19"/>
      <c r="R216" s="19"/>
      <c r="S216" s="19"/>
      <c r="T216" s="19"/>
      <c r="U216" s="19"/>
      <c r="V216" s="19"/>
      <c r="W216" s="19"/>
      <c r="X216" s="19"/>
      <c r="Y216" s="19"/>
      <c r="Z216" s="19"/>
      <c r="AA216" s="19"/>
      <c r="AB216" s="19"/>
      <c r="AC216" s="19"/>
      <c r="AD216" s="44"/>
      <c r="AE216" s="44"/>
      <c r="AF216" s="44"/>
      <c r="AG216" s="44"/>
      <c r="AH216" s="50"/>
      <c r="AI216" s="50"/>
      <c r="BD216" s="20"/>
      <c r="BE216" s="19"/>
      <c r="BF216" s="19"/>
      <c r="BG216" s="19"/>
      <c r="BH216" s="19"/>
      <c r="BI216" s="19"/>
      <c r="BJ216" s="19"/>
      <c r="BK216" s="19"/>
      <c r="BL216" s="19"/>
      <c r="BM216" s="18"/>
      <c r="BN216" s="19"/>
      <c r="BP216" s="19"/>
      <c r="BQ216" s="19"/>
      <c r="BR216" s="19"/>
      <c r="BS216" s="19"/>
      <c r="BT216" s="19"/>
      <c r="BU216" s="19"/>
      <c r="BV216" s="19"/>
      <c r="BW216" s="19"/>
      <c r="BX216" s="19"/>
      <c r="BY216" s="19"/>
      <c r="BZ216" s="19"/>
      <c r="CA216" s="19"/>
      <c r="CB216" s="19"/>
      <c r="CC216" s="19"/>
      <c r="CD216" s="19"/>
      <c r="CE216" s="19"/>
      <c r="CF216" s="44"/>
      <c r="CG216" s="44"/>
      <c r="CH216" s="44"/>
      <c r="CI216" s="44"/>
      <c r="CJ216" s="50"/>
      <c r="CK216" s="50"/>
    </row>
    <row r="217" spans="3:89" hidden="1" x14ac:dyDescent="0.3">
      <c r="C217" s="19"/>
      <c r="D217" s="19"/>
      <c r="E217" s="19"/>
      <c r="F217" s="19"/>
      <c r="G217" s="19"/>
      <c r="H217" s="19"/>
      <c r="I217" s="19"/>
      <c r="J217" s="19"/>
      <c r="K217" s="18" t="s">
        <v>137</v>
      </c>
      <c r="L217" s="19"/>
      <c r="M217" s="21" t="str">
        <f>""</f>
        <v/>
      </c>
      <c r="N217" s="19"/>
      <c r="O217" s="19"/>
      <c r="P217" s="19"/>
      <c r="Q217" s="19"/>
      <c r="R217" s="19"/>
      <c r="S217" s="19"/>
      <c r="T217" s="19"/>
      <c r="U217" s="19"/>
      <c r="V217" s="19"/>
      <c r="W217" s="19"/>
      <c r="X217" s="19"/>
      <c r="Y217" s="19"/>
      <c r="Z217" s="19"/>
      <c r="AA217" s="19"/>
      <c r="AB217" s="19"/>
      <c r="AC217" s="19"/>
      <c r="AD217" s="44"/>
      <c r="AE217" s="44"/>
      <c r="AF217" s="44"/>
      <c r="AG217" s="44"/>
      <c r="AH217" s="50"/>
      <c r="AI217" s="50"/>
      <c r="BD217" s="20"/>
      <c r="BE217" s="19"/>
      <c r="BF217" s="19"/>
      <c r="BG217" s="19"/>
      <c r="BH217" s="19"/>
      <c r="BI217" s="19"/>
      <c r="BJ217" s="19"/>
      <c r="BK217" s="19"/>
      <c r="BL217" s="19"/>
      <c r="BM217" s="18"/>
      <c r="BN217" s="19"/>
      <c r="BP217" s="19"/>
      <c r="BQ217" s="19"/>
      <c r="BR217" s="19"/>
      <c r="BS217" s="19"/>
      <c r="BT217" s="19"/>
      <c r="BU217" s="19"/>
      <c r="BV217" s="19"/>
      <c r="BW217" s="19"/>
      <c r="BX217" s="19"/>
      <c r="BY217" s="19"/>
      <c r="BZ217" s="19"/>
      <c r="CA217" s="19"/>
      <c r="CB217" s="19"/>
      <c r="CC217" s="19"/>
      <c r="CD217" s="19"/>
      <c r="CE217" s="19"/>
      <c r="CF217" s="44"/>
      <c r="CG217" s="44"/>
      <c r="CH217" s="44"/>
      <c r="CI217" s="44"/>
      <c r="CJ217" s="50"/>
      <c r="CK217" s="50"/>
    </row>
    <row r="218" spans="3:89" hidden="1" x14ac:dyDescent="0.3">
      <c r="C218" s="19"/>
      <c r="D218" s="19"/>
      <c r="E218" s="19"/>
      <c r="F218" s="19"/>
      <c r="G218" s="19"/>
      <c r="H218" s="19"/>
      <c r="I218" s="19"/>
      <c r="J218" s="19"/>
      <c r="K218" s="18" t="s">
        <v>138</v>
      </c>
      <c r="L218" s="19"/>
      <c r="M218" s="21" t="str">
        <f>""</f>
        <v/>
      </c>
      <c r="N218" s="19"/>
      <c r="O218" s="19"/>
      <c r="P218" s="19"/>
      <c r="Q218" s="19"/>
      <c r="R218" s="19"/>
      <c r="S218" s="19"/>
      <c r="T218" s="19"/>
      <c r="U218" s="19"/>
      <c r="V218" s="19"/>
      <c r="W218" s="19"/>
      <c r="X218" s="19"/>
      <c r="Y218" s="19"/>
      <c r="Z218" s="19"/>
      <c r="AA218" s="19"/>
      <c r="AB218" s="19"/>
      <c r="AC218" s="19"/>
      <c r="AD218" s="44"/>
      <c r="AE218" s="44"/>
      <c r="AF218" s="44"/>
      <c r="AG218" s="44"/>
      <c r="AH218" s="50"/>
      <c r="AI218" s="50"/>
      <c r="BD218" s="20"/>
      <c r="BE218" s="19"/>
      <c r="BF218" s="19"/>
      <c r="BG218" s="19"/>
      <c r="BH218" s="19"/>
      <c r="BI218" s="19"/>
      <c r="BJ218" s="19"/>
      <c r="BK218" s="19"/>
      <c r="BL218" s="19"/>
      <c r="BM218" s="18"/>
      <c r="BN218" s="19"/>
      <c r="BP218" s="19"/>
      <c r="BQ218" s="19"/>
      <c r="BR218" s="19"/>
      <c r="BS218" s="19"/>
      <c r="BT218" s="19"/>
      <c r="BU218" s="19"/>
      <c r="BV218" s="19"/>
      <c r="BW218" s="19"/>
      <c r="BX218" s="19"/>
      <c r="BY218" s="19"/>
      <c r="BZ218" s="19"/>
      <c r="CA218" s="19"/>
      <c r="CB218" s="19"/>
      <c r="CC218" s="19"/>
      <c r="CD218" s="19"/>
      <c r="CE218" s="19"/>
      <c r="CF218" s="44"/>
      <c r="CG218" s="44"/>
      <c r="CH218" s="44"/>
      <c r="CI218" s="44"/>
      <c r="CJ218" s="50"/>
      <c r="CK218" s="50"/>
    </row>
    <row r="219" spans="3:89" hidden="1" x14ac:dyDescent="0.3">
      <c r="C219" s="19"/>
      <c r="D219" s="19"/>
      <c r="E219" s="19"/>
      <c r="F219" s="19"/>
      <c r="G219" s="19"/>
      <c r="H219" s="19"/>
      <c r="I219" s="19"/>
      <c r="J219" s="19"/>
      <c r="K219" s="18" t="s">
        <v>1065</v>
      </c>
      <c r="L219" s="19"/>
      <c r="M219" s="21" t="str">
        <f>""</f>
        <v/>
      </c>
      <c r="N219" s="19"/>
      <c r="O219" s="19"/>
      <c r="P219" s="19"/>
      <c r="Q219" s="19"/>
      <c r="R219" s="19"/>
      <c r="S219" s="19"/>
      <c r="T219" s="19"/>
      <c r="U219" s="19"/>
      <c r="V219" s="19"/>
      <c r="W219" s="19"/>
      <c r="X219" s="19"/>
      <c r="Y219" s="19"/>
      <c r="Z219" s="19"/>
      <c r="AA219" s="19"/>
      <c r="AB219" s="19"/>
      <c r="AC219" s="19"/>
      <c r="AD219" s="44"/>
      <c r="AE219" s="44"/>
      <c r="AF219" s="44"/>
      <c r="AG219" s="44"/>
      <c r="AH219" s="50"/>
      <c r="AI219" s="50"/>
      <c r="BD219" s="20"/>
      <c r="BE219" s="19"/>
      <c r="BF219" s="19"/>
      <c r="BG219" s="19"/>
      <c r="BH219" s="19"/>
      <c r="BI219" s="19"/>
      <c r="BJ219" s="19"/>
      <c r="BK219" s="19"/>
      <c r="BL219" s="19"/>
      <c r="BM219" s="18"/>
      <c r="BN219" s="19"/>
      <c r="BP219" s="19"/>
      <c r="BQ219" s="19"/>
      <c r="BR219" s="19"/>
      <c r="BS219" s="19"/>
      <c r="BT219" s="19"/>
      <c r="BU219" s="19"/>
      <c r="BV219" s="19"/>
      <c r="BW219" s="19"/>
      <c r="BX219" s="19"/>
      <c r="BY219" s="19"/>
      <c r="BZ219" s="19"/>
      <c r="CA219" s="19"/>
      <c r="CB219" s="19"/>
      <c r="CC219" s="19"/>
      <c r="CD219" s="19"/>
      <c r="CE219" s="19"/>
      <c r="CF219" s="44"/>
      <c r="CG219" s="44"/>
      <c r="CH219" s="44"/>
      <c r="CI219" s="44"/>
      <c r="CJ219" s="50"/>
      <c r="CK219" s="50"/>
    </row>
    <row r="220" spans="3:89" hidden="1" x14ac:dyDescent="0.3">
      <c r="C220" s="19"/>
      <c r="D220" s="19"/>
      <c r="E220" s="19"/>
      <c r="F220" s="19"/>
      <c r="G220" s="19"/>
      <c r="H220" s="19"/>
      <c r="I220" s="19"/>
      <c r="J220" s="19"/>
      <c r="K220" s="18" t="s">
        <v>1067</v>
      </c>
      <c r="L220" s="19"/>
      <c r="M220" s="21" t="str">
        <f>""</f>
        <v/>
      </c>
      <c r="N220" s="19"/>
      <c r="O220" s="19"/>
      <c r="P220" s="19"/>
      <c r="Q220" s="19"/>
      <c r="R220" s="19"/>
      <c r="S220" s="19"/>
      <c r="T220" s="19"/>
      <c r="U220" s="19"/>
      <c r="V220" s="19"/>
      <c r="W220" s="19"/>
      <c r="X220" s="19"/>
      <c r="Y220" s="19"/>
      <c r="Z220" s="19"/>
      <c r="AA220" s="19"/>
      <c r="AB220" s="19"/>
      <c r="AC220" s="19"/>
      <c r="AD220" s="44"/>
      <c r="AE220" s="44"/>
      <c r="AF220" s="44"/>
      <c r="AG220" s="44"/>
      <c r="AH220" s="50"/>
      <c r="AI220" s="50"/>
      <c r="BD220" s="20"/>
      <c r="BE220" s="19"/>
      <c r="BF220" s="19"/>
      <c r="BG220" s="19"/>
      <c r="BH220" s="19"/>
      <c r="BI220" s="19"/>
      <c r="BJ220" s="19"/>
      <c r="BK220" s="19"/>
      <c r="BL220" s="19"/>
      <c r="BM220" s="18"/>
      <c r="BN220" s="19"/>
      <c r="BP220" s="19"/>
      <c r="BQ220" s="19"/>
      <c r="BR220" s="19"/>
      <c r="BS220" s="19"/>
      <c r="BT220" s="19"/>
      <c r="BU220" s="19"/>
      <c r="BV220" s="19"/>
      <c r="BW220" s="19"/>
      <c r="BX220" s="19"/>
      <c r="BY220" s="19"/>
      <c r="BZ220" s="19"/>
      <c r="CA220" s="19"/>
      <c r="CB220" s="19"/>
      <c r="CC220" s="19"/>
      <c r="CD220" s="19"/>
      <c r="CE220" s="19"/>
      <c r="CF220" s="44"/>
      <c r="CG220" s="44"/>
      <c r="CH220" s="44"/>
      <c r="CI220" s="44"/>
      <c r="CJ220" s="50"/>
      <c r="CK220" s="50"/>
    </row>
    <row r="221" spans="3:89" hidden="1" x14ac:dyDescent="0.3">
      <c r="C221" s="19"/>
      <c r="D221" s="19"/>
      <c r="E221" s="19"/>
      <c r="F221" s="19"/>
      <c r="G221" s="19"/>
      <c r="H221" s="19"/>
      <c r="I221" s="19"/>
      <c r="J221" s="19"/>
      <c r="K221" s="18" t="s">
        <v>139</v>
      </c>
      <c r="L221" s="19"/>
      <c r="M221" s="21" t="str">
        <f>""</f>
        <v/>
      </c>
      <c r="N221" s="19"/>
      <c r="O221" s="19"/>
      <c r="P221" s="19"/>
      <c r="Q221" s="19"/>
      <c r="R221" s="19"/>
      <c r="S221" s="19"/>
      <c r="T221" s="19"/>
      <c r="U221" s="19"/>
      <c r="V221" s="19"/>
      <c r="W221" s="19"/>
      <c r="X221" s="19"/>
      <c r="Y221" s="19"/>
      <c r="Z221" s="19"/>
      <c r="AA221" s="19"/>
      <c r="AB221" s="19"/>
      <c r="AC221" s="19"/>
      <c r="AD221" s="44"/>
      <c r="AE221" s="44"/>
      <c r="AF221" s="44"/>
      <c r="AG221" s="44"/>
      <c r="AH221" s="50"/>
      <c r="AI221" s="50"/>
      <c r="BD221" s="20"/>
      <c r="BE221" s="19"/>
      <c r="BF221" s="19"/>
      <c r="BG221" s="19"/>
      <c r="BH221" s="19"/>
      <c r="BI221" s="19"/>
      <c r="BJ221" s="19"/>
      <c r="BK221" s="19"/>
      <c r="BL221" s="19"/>
      <c r="BM221" s="18"/>
      <c r="BN221" s="19"/>
      <c r="BP221" s="19"/>
      <c r="BQ221" s="19"/>
      <c r="BR221" s="19"/>
      <c r="BS221" s="19"/>
      <c r="BT221" s="19"/>
      <c r="BU221" s="19"/>
      <c r="BV221" s="19"/>
      <c r="BW221" s="19"/>
      <c r="BX221" s="19"/>
      <c r="BY221" s="19"/>
      <c r="BZ221" s="19"/>
      <c r="CA221" s="19"/>
      <c r="CB221" s="19"/>
      <c r="CC221" s="19"/>
      <c r="CD221" s="19"/>
      <c r="CE221" s="19"/>
      <c r="CF221" s="44"/>
      <c r="CG221" s="44"/>
      <c r="CH221" s="44"/>
      <c r="CI221" s="44"/>
      <c r="CJ221" s="50"/>
      <c r="CK221" s="50"/>
    </row>
    <row r="222" spans="3:89" hidden="1" x14ac:dyDescent="0.3">
      <c r="C222" s="19"/>
      <c r="D222" s="19"/>
      <c r="E222" s="19"/>
      <c r="F222" s="19"/>
      <c r="G222" s="19"/>
      <c r="H222" s="19"/>
      <c r="I222" s="19"/>
      <c r="J222" s="19"/>
      <c r="K222" s="18" t="s">
        <v>140</v>
      </c>
      <c r="L222" s="19"/>
      <c r="M222" s="21" t="str">
        <f>""</f>
        <v/>
      </c>
      <c r="N222" s="19"/>
      <c r="O222" s="19"/>
      <c r="P222" s="19"/>
      <c r="Q222" s="19"/>
      <c r="R222" s="19"/>
      <c r="S222" s="19"/>
      <c r="T222" s="19"/>
      <c r="U222" s="19"/>
      <c r="V222" s="19"/>
      <c r="W222" s="19"/>
      <c r="X222" s="19"/>
      <c r="Y222" s="19"/>
      <c r="Z222" s="19"/>
      <c r="AA222" s="19"/>
      <c r="AB222" s="19"/>
      <c r="AC222" s="19"/>
      <c r="AD222" s="44"/>
      <c r="AE222" s="44"/>
      <c r="AF222" s="44"/>
      <c r="AG222" s="44"/>
      <c r="AH222" s="50"/>
      <c r="AI222" s="50"/>
      <c r="BD222" s="20"/>
      <c r="BE222" s="19"/>
      <c r="BF222" s="19"/>
      <c r="BG222" s="19"/>
      <c r="BH222" s="19"/>
      <c r="BI222" s="19"/>
      <c r="BJ222" s="19"/>
      <c r="BK222" s="19"/>
      <c r="BL222" s="19"/>
      <c r="BM222" s="18"/>
      <c r="BN222" s="19"/>
      <c r="BP222" s="19"/>
      <c r="BQ222" s="19"/>
      <c r="BR222" s="19"/>
      <c r="BS222" s="19"/>
      <c r="BT222" s="19"/>
      <c r="BU222" s="19"/>
      <c r="BV222" s="19"/>
      <c r="BW222" s="19"/>
      <c r="BX222" s="19"/>
      <c r="BY222" s="19"/>
      <c r="BZ222" s="19"/>
      <c r="CA222" s="19"/>
      <c r="CB222" s="19"/>
      <c r="CC222" s="19"/>
      <c r="CD222" s="19"/>
      <c r="CE222" s="19"/>
      <c r="CF222" s="44"/>
      <c r="CG222" s="44"/>
      <c r="CH222" s="44"/>
      <c r="CI222" s="44"/>
      <c r="CJ222" s="50"/>
      <c r="CK222" s="50"/>
    </row>
    <row r="223" spans="3:89" hidden="1" x14ac:dyDescent="0.3">
      <c r="C223" s="19"/>
      <c r="D223" s="19"/>
      <c r="E223" s="19"/>
      <c r="F223" s="19"/>
      <c r="G223" s="19"/>
      <c r="H223" s="19"/>
      <c r="I223" s="19"/>
      <c r="J223" s="19"/>
      <c r="K223" s="18" t="s">
        <v>1066</v>
      </c>
      <c r="L223" s="19"/>
      <c r="M223" s="21" t="str">
        <f>""</f>
        <v/>
      </c>
      <c r="N223" s="19"/>
      <c r="O223" s="19"/>
      <c r="P223" s="19"/>
      <c r="Q223" s="19"/>
      <c r="R223" s="19"/>
      <c r="S223" s="19"/>
      <c r="T223" s="19"/>
      <c r="U223" s="19"/>
      <c r="V223" s="19"/>
      <c r="W223" s="19"/>
      <c r="X223" s="19"/>
      <c r="Y223" s="19"/>
      <c r="Z223" s="19"/>
      <c r="AA223" s="19"/>
      <c r="AB223" s="19"/>
      <c r="AC223" s="19"/>
      <c r="AD223" s="44"/>
      <c r="AE223" s="44"/>
      <c r="AF223" s="44"/>
      <c r="AG223" s="44"/>
      <c r="AH223" s="50"/>
      <c r="AI223" s="50"/>
      <c r="BD223" s="20"/>
      <c r="BE223" s="19"/>
      <c r="BF223" s="19"/>
      <c r="BG223" s="19"/>
      <c r="BH223" s="19"/>
      <c r="BI223" s="19"/>
      <c r="BJ223" s="19"/>
      <c r="BK223" s="19"/>
      <c r="BL223" s="19"/>
      <c r="BM223" s="18"/>
      <c r="BN223" s="19"/>
      <c r="BP223" s="19"/>
      <c r="BQ223" s="19"/>
      <c r="BR223" s="19"/>
      <c r="BS223" s="19"/>
      <c r="BT223" s="19"/>
      <c r="BU223" s="19"/>
      <c r="BV223" s="19"/>
      <c r="BW223" s="19"/>
      <c r="BX223" s="19"/>
      <c r="BY223" s="19"/>
      <c r="BZ223" s="19"/>
      <c r="CA223" s="19"/>
      <c r="CB223" s="19"/>
      <c r="CC223" s="19"/>
      <c r="CD223" s="19"/>
      <c r="CE223" s="19"/>
      <c r="CF223" s="44"/>
      <c r="CG223" s="44"/>
      <c r="CH223" s="44"/>
      <c r="CI223" s="44"/>
      <c r="CJ223" s="50"/>
      <c r="CK223" s="50"/>
    </row>
    <row r="224" spans="3:89" hidden="1" x14ac:dyDescent="0.3">
      <c r="C224" s="19"/>
      <c r="D224" s="19"/>
      <c r="E224" s="19"/>
      <c r="F224" s="19"/>
      <c r="G224" s="19"/>
      <c r="H224" s="19"/>
      <c r="I224" s="19"/>
      <c r="J224" s="19"/>
      <c r="K224" s="18" t="s">
        <v>141</v>
      </c>
      <c r="L224" s="19"/>
      <c r="M224" s="21" t="str">
        <f>""</f>
        <v/>
      </c>
      <c r="N224" s="19"/>
      <c r="O224" s="19"/>
      <c r="P224" s="19"/>
      <c r="Q224" s="19"/>
      <c r="R224" s="19"/>
      <c r="S224" s="19"/>
      <c r="T224" s="19"/>
      <c r="U224" s="19"/>
      <c r="V224" s="19"/>
      <c r="W224" s="19"/>
      <c r="X224" s="19"/>
      <c r="Y224" s="19"/>
      <c r="Z224" s="19"/>
      <c r="AA224" s="19"/>
      <c r="AB224" s="19"/>
      <c r="AC224" s="19"/>
      <c r="AD224" s="44"/>
      <c r="AE224" s="44"/>
      <c r="AF224" s="44"/>
      <c r="AG224" s="44"/>
      <c r="AH224" s="50"/>
      <c r="AI224" s="50"/>
      <c r="BD224" s="20"/>
      <c r="BE224" s="19"/>
      <c r="BF224" s="19"/>
      <c r="BG224" s="19"/>
      <c r="BH224" s="19"/>
      <c r="BI224" s="19"/>
      <c r="BJ224" s="19"/>
      <c r="BK224" s="19"/>
      <c r="BL224" s="19"/>
      <c r="BM224" s="18"/>
      <c r="BN224" s="19"/>
      <c r="BP224" s="19"/>
      <c r="BQ224" s="19"/>
      <c r="BR224" s="19"/>
      <c r="BS224" s="19"/>
      <c r="BT224" s="19"/>
      <c r="BU224" s="19"/>
      <c r="BV224" s="19"/>
      <c r="BW224" s="19"/>
      <c r="BX224" s="19"/>
      <c r="BY224" s="19"/>
      <c r="BZ224" s="19"/>
      <c r="CA224" s="19"/>
      <c r="CB224" s="19"/>
      <c r="CC224" s="19"/>
      <c r="CD224" s="19"/>
      <c r="CE224" s="19"/>
      <c r="CF224" s="44"/>
      <c r="CG224" s="44"/>
      <c r="CH224" s="44"/>
      <c r="CI224" s="44"/>
      <c r="CJ224" s="50"/>
      <c r="CK224" s="50"/>
    </row>
    <row r="225" spans="3:89" hidden="1" x14ac:dyDescent="0.3">
      <c r="C225" s="19"/>
      <c r="D225" s="19"/>
      <c r="E225" s="19"/>
      <c r="F225" s="19"/>
      <c r="G225" s="19"/>
      <c r="H225" s="19"/>
      <c r="I225" s="19"/>
      <c r="J225" s="19"/>
      <c r="K225" s="18" t="s">
        <v>142</v>
      </c>
      <c r="L225" s="19"/>
      <c r="M225" s="21" t="str">
        <f>""</f>
        <v/>
      </c>
      <c r="N225" s="19"/>
      <c r="O225" s="19"/>
      <c r="P225" s="19"/>
      <c r="Q225" s="19"/>
      <c r="R225" s="19"/>
      <c r="S225" s="19"/>
      <c r="T225" s="19"/>
      <c r="U225" s="19"/>
      <c r="V225" s="19"/>
      <c r="W225" s="19"/>
      <c r="X225" s="19"/>
      <c r="Y225" s="19"/>
      <c r="Z225" s="19"/>
      <c r="AA225" s="19"/>
      <c r="AB225" s="19"/>
      <c r="AC225" s="19"/>
      <c r="AD225" s="44"/>
      <c r="AE225" s="44"/>
      <c r="AF225" s="44"/>
      <c r="AG225" s="44"/>
      <c r="AH225" s="50"/>
      <c r="AI225" s="50"/>
      <c r="BD225" s="20"/>
      <c r="BE225" s="19"/>
      <c r="BF225" s="19"/>
      <c r="BG225" s="19"/>
      <c r="BH225" s="19"/>
      <c r="BI225" s="19"/>
      <c r="BJ225" s="19"/>
      <c r="BK225" s="19"/>
      <c r="BL225" s="19"/>
      <c r="BM225" s="18"/>
      <c r="BN225" s="19"/>
      <c r="BP225" s="19"/>
      <c r="BQ225" s="19"/>
      <c r="BR225" s="19"/>
      <c r="BS225" s="19"/>
      <c r="BT225" s="19"/>
      <c r="BU225" s="19"/>
      <c r="BV225" s="19"/>
      <c r="BW225" s="19"/>
      <c r="BX225" s="19"/>
      <c r="BY225" s="19"/>
      <c r="BZ225" s="19"/>
      <c r="CA225" s="19"/>
      <c r="CB225" s="19"/>
      <c r="CC225" s="19"/>
      <c r="CD225" s="19"/>
      <c r="CE225" s="19"/>
      <c r="CF225" s="44"/>
      <c r="CG225" s="44"/>
      <c r="CH225" s="44"/>
      <c r="CI225" s="44"/>
      <c r="CJ225" s="50"/>
      <c r="CK225" s="50"/>
    </row>
    <row r="226" spans="3:89" hidden="1" x14ac:dyDescent="0.3">
      <c r="C226" s="19"/>
      <c r="D226" s="19"/>
      <c r="E226" s="19"/>
      <c r="F226" s="19"/>
      <c r="G226" s="19"/>
      <c r="H226" s="19"/>
      <c r="I226" s="19"/>
      <c r="J226" s="19"/>
      <c r="K226" s="18" t="s">
        <v>143</v>
      </c>
      <c r="L226" s="19"/>
      <c r="M226" s="21" t="str">
        <f>""</f>
        <v/>
      </c>
      <c r="N226" s="19"/>
      <c r="O226" s="19"/>
      <c r="P226" s="19"/>
      <c r="Q226" s="19"/>
      <c r="R226" s="19"/>
      <c r="S226" s="19"/>
      <c r="T226" s="19"/>
      <c r="U226" s="19"/>
      <c r="V226" s="19"/>
      <c r="W226" s="19"/>
      <c r="X226" s="19"/>
      <c r="Y226" s="19"/>
      <c r="Z226" s="19"/>
      <c r="AA226" s="19"/>
      <c r="AB226" s="19"/>
      <c r="AC226" s="19"/>
      <c r="AD226" s="44"/>
      <c r="AE226" s="44"/>
      <c r="AF226" s="44"/>
      <c r="AG226" s="44"/>
      <c r="AH226" s="50"/>
      <c r="AI226" s="50"/>
      <c r="BD226" s="20"/>
      <c r="BE226" s="19"/>
      <c r="BF226" s="19"/>
      <c r="BG226" s="19"/>
      <c r="BH226" s="19"/>
      <c r="BI226" s="19"/>
      <c r="BJ226" s="19"/>
      <c r="BK226" s="19"/>
      <c r="BL226" s="19"/>
      <c r="BM226" s="18"/>
      <c r="BN226" s="19"/>
      <c r="BP226" s="19"/>
      <c r="BQ226" s="19"/>
      <c r="BR226" s="19"/>
      <c r="BS226" s="19"/>
      <c r="BT226" s="19"/>
      <c r="BU226" s="19"/>
      <c r="BV226" s="19"/>
      <c r="BW226" s="19"/>
      <c r="BX226" s="19"/>
      <c r="BY226" s="19"/>
      <c r="BZ226" s="19"/>
      <c r="CA226" s="19"/>
      <c r="CB226" s="19"/>
      <c r="CC226" s="19"/>
      <c r="CD226" s="19"/>
      <c r="CE226" s="19"/>
      <c r="CF226" s="44"/>
      <c r="CG226" s="44"/>
      <c r="CH226" s="44"/>
      <c r="CI226" s="44"/>
      <c r="CJ226" s="50"/>
      <c r="CK226" s="50"/>
    </row>
    <row r="227" spans="3:89" hidden="1" x14ac:dyDescent="0.3">
      <c r="C227" s="19"/>
      <c r="D227" s="19"/>
      <c r="E227" s="19"/>
      <c r="F227" s="19"/>
      <c r="G227" s="19"/>
      <c r="H227" s="19"/>
      <c r="I227" s="19"/>
      <c r="J227" s="19"/>
      <c r="K227" s="19" t="s">
        <v>144</v>
      </c>
      <c r="L227" s="19"/>
      <c r="M227" s="21" t="str">
        <f>""</f>
        <v/>
      </c>
      <c r="N227" s="19"/>
      <c r="O227" s="19"/>
      <c r="P227" s="19"/>
      <c r="Q227" s="19"/>
      <c r="R227" s="19"/>
      <c r="S227" s="19"/>
      <c r="T227" s="19"/>
      <c r="U227" s="19"/>
      <c r="V227" s="19"/>
      <c r="W227" s="19"/>
      <c r="X227" s="19"/>
      <c r="Y227" s="19"/>
      <c r="Z227" s="19"/>
      <c r="AA227" s="19"/>
      <c r="AB227" s="19"/>
      <c r="AC227" s="19"/>
      <c r="AD227" s="44"/>
      <c r="AE227" s="44"/>
      <c r="AF227" s="44"/>
      <c r="AG227" s="44"/>
      <c r="AH227" s="50"/>
      <c r="AI227" s="50"/>
      <c r="BD227" s="20"/>
      <c r="BE227" s="19"/>
      <c r="BF227" s="19"/>
      <c r="BG227" s="19"/>
      <c r="BH227" s="19"/>
      <c r="BI227" s="19"/>
      <c r="BJ227" s="19"/>
      <c r="BK227" s="19"/>
      <c r="BL227" s="19"/>
      <c r="BM227" s="18"/>
      <c r="BN227" s="19"/>
      <c r="BP227" s="19"/>
      <c r="BQ227" s="19"/>
      <c r="BR227" s="19"/>
      <c r="BS227" s="19"/>
      <c r="BT227" s="19"/>
      <c r="BU227" s="19"/>
      <c r="BV227" s="19"/>
      <c r="BW227" s="19"/>
      <c r="BX227" s="19"/>
      <c r="BY227" s="19"/>
      <c r="BZ227" s="19"/>
      <c r="CA227" s="19"/>
      <c r="CB227" s="19"/>
      <c r="CC227" s="19"/>
      <c r="CD227" s="19"/>
      <c r="CE227" s="19"/>
      <c r="CF227" s="44"/>
      <c r="CG227" s="44"/>
      <c r="CH227" s="44"/>
      <c r="CI227" s="44"/>
      <c r="CJ227" s="50"/>
      <c r="CK227" s="50"/>
    </row>
    <row r="228" spans="3:89" hidden="1" x14ac:dyDescent="0.3">
      <c r="C228" s="19"/>
      <c r="D228" s="19"/>
      <c r="E228" s="19"/>
      <c r="F228" s="19"/>
      <c r="G228" s="19"/>
      <c r="H228" s="19"/>
      <c r="I228" s="19"/>
      <c r="J228" s="19"/>
      <c r="K228" s="18" t="s">
        <v>145</v>
      </c>
      <c r="L228" s="19"/>
      <c r="M228" s="21" t="str">
        <f>""</f>
        <v/>
      </c>
      <c r="N228" s="19"/>
      <c r="O228" s="19"/>
      <c r="P228" s="19"/>
      <c r="Q228" s="19"/>
      <c r="R228" s="19"/>
      <c r="S228" s="19"/>
      <c r="T228" s="19"/>
      <c r="U228" s="19"/>
      <c r="V228" s="19"/>
      <c r="W228" s="19"/>
      <c r="X228" s="19"/>
      <c r="Y228" s="19"/>
      <c r="Z228" s="19"/>
      <c r="AA228" s="19"/>
      <c r="AB228" s="19"/>
      <c r="AC228" s="19"/>
      <c r="AD228" s="44"/>
      <c r="AE228" s="44"/>
      <c r="AF228" s="44"/>
      <c r="AG228" s="44"/>
      <c r="AH228" s="50"/>
      <c r="AI228" s="50"/>
      <c r="BD228" s="20"/>
      <c r="BE228" s="19"/>
      <c r="BF228" s="19"/>
      <c r="BG228" s="19"/>
      <c r="BH228" s="19"/>
      <c r="BI228" s="19"/>
      <c r="BJ228" s="19"/>
      <c r="BK228" s="19"/>
      <c r="BL228" s="19"/>
      <c r="BM228" s="18"/>
      <c r="BN228" s="19"/>
      <c r="BP228" s="19"/>
      <c r="BQ228" s="19"/>
      <c r="BR228" s="19"/>
      <c r="BS228" s="19"/>
      <c r="BT228" s="19"/>
      <c r="BU228" s="19"/>
      <c r="BV228" s="19"/>
      <c r="BW228" s="19"/>
      <c r="BX228" s="19"/>
      <c r="BY228" s="19"/>
      <c r="BZ228" s="19"/>
      <c r="CA228" s="19"/>
      <c r="CB228" s="19"/>
      <c r="CC228" s="19"/>
      <c r="CD228" s="19"/>
      <c r="CE228" s="19"/>
      <c r="CF228" s="44"/>
      <c r="CG228" s="44"/>
      <c r="CH228" s="44"/>
      <c r="CI228" s="44"/>
      <c r="CJ228" s="50"/>
      <c r="CK228" s="50"/>
    </row>
    <row r="229" spans="3:89" hidden="1" x14ac:dyDescent="0.3">
      <c r="C229" s="19"/>
      <c r="D229" s="19"/>
      <c r="E229" s="19"/>
      <c r="F229" s="19"/>
      <c r="G229" s="19"/>
      <c r="H229" s="19"/>
      <c r="I229" s="19"/>
      <c r="J229" s="19"/>
      <c r="K229" s="19" t="s">
        <v>146</v>
      </c>
      <c r="L229" s="19"/>
      <c r="M229" s="21" t="str">
        <f>""</f>
        <v/>
      </c>
      <c r="N229" s="19"/>
      <c r="O229" s="19"/>
      <c r="P229" s="19"/>
      <c r="Q229" s="19"/>
      <c r="R229" s="19"/>
      <c r="S229" s="19"/>
      <c r="T229" s="19"/>
      <c r="U229" s="19"/>
      <c r="V229" s="19"/>
      <c r="W229" s="19"/>
      <c r="X229" s="19"/>
      <c r="Y229" s="19"/>
      <c r="Z229" s="19"/>
      <c r="AA229" s="19"/>
      <c r="AB229" s="19"/>
      <c r="AC229" s="19"/>
      <c r="AD229" s="44"/>
      <c r="AE229" s="44"/>
      <c r="AF229" s="44"/>
      <c r="AG229" s="44"/>
      <c r="AH229" s="50"/>
      <c r="AI229" s="50"/>
      <c r="BD229" s="20"/>
      <c r="BE229" s="19"/>
      <c r="BF229" s="19"/>
      <c r="BG229" s="19"/>
      <c r="BH229" s="19"/>
      <c r="BI229" s="19"/>
      <c r="BJ229" s="19"/>
      <c r="BK229" s="19"/>
      <c r="BL229" s="19"/>
      <c r="BM229" s="18"/>
      <c r="BN229" s="19"/>
      <c r="BP229" s="19"/>
      <c r="BQ229" s="19"/>
      <c r="BR229" s="19"/>
      <c r="BS229" s="19"/>
      <c r="BT229" s="19"/>
      <c r="BU229" s="19"/>
      <c r="BV229" s="19"/>
      <c r="BW229" s="19"/>
      <c r="BX229" s="19"/>
      <c r="BY229" s="19"/>
      <c r="BZ229" s="19"/>
      <c r="CA229" s="19"/>
      <c r="CB229" s="19"/>
      <c r="CC229" s="19"/>
      <c r="CD229" s="19"/>
      <c r="CE229" s="19"/>
      <c r="CF229" s="44"/>
      <c r="CG229" s="44"/>
      <c r="CH229" s="44"/>
      <c r="CI229" s="44"/>
      <c r="CJ229" s="50"/>
      <c r="CK229" s="50"/>
    </row>
    <row r="230" spans="3:89" hidden="1" x14ac:dyDescent="0.3">
      <c r="C230" s="19"/>
      <c r="D230" s="19"/>
      <c r="E230" s="19"/>
      <c r="F230" s="19"/>
      <c r="G230" s="19"/>
      <c r="H230" s="19"/>
      <c r="I230" s="19"/>
      <c r="J230" s="19"/>
      <c r="K230" s="19">
        <v>1</v>
      </c>
      <c r="L230" s="19"/>
      <c r="N230" s="19"/>
      <c r="O230" s="19"/>
      <c r="P230" s="19"/>
      <c r="Q230" s="19"/>
      <c r="R230" s="19"/>
      <c r="S230" s="19"/>
      <c r="T230" s="19"/>
      <c r="U230" s="19"/>
      <c r="V230" s="19"/>
      <c r="W230" s="19"/>
      <c r="X230" s="19"/>
      <c r="Y230" s="19"/>
      <c r="Z230" s="19"/>
      <c r="AA230" s="19"/>
      <c r="AB230" s="19"/>
      <c r="AC230" s="19"/>
      <c r="AD230" s="44"/>
      <c r="AE230" s="44"/>
      <c r="AF230" s="44"/>
      <c r="AG230" s="44"/>
      <c r="AH230" s="50"/>
      <c r="AI230" s="50"/>
      <c r="BD230" s="20"/>
      <c r="BE230" s="19"/>
      <c r="BF230" s="19"/>
      <c r="BG230" s="19"/>
      <c r="BH230" s="19"/>
      <c r="BI230" s="19"/>
      <c r="BJ230" s="19"/>
      <c r="BK230" s="19"/>
      <c r="BL230" s="19"/>
      <c r="BM230" s="18"/>
      <c r="BN230" s="19"/>
      <c r="BP230" s="19"/>
      <c r="BQ230" s="19"/>
      <c r="BR230" s="19"/>
      <c r="BS230" s="19"/>
      <c r="BT230" s="19"/>
      <c r="BU230" s="19"/>
      <c r="BV230" s="19"/>
      <c r="BW230" s="19"/>
      <c r="BX230" s="19"/>
      <c r="BY230" s="19"/>
      <c r="BZ230" s="19"/>
      <c r="CA230" s="19"/>
      <c r="CB230" s="19"/>
      <c r="CC230" s="19"/>
      <c r="CD230" s="19"/>
      <c r="CE230" s="19"/>
      <c r="CF230" s="44"/>
      <c r="CG230" s="44"/>
      <c r="CH230" s="44"/>
      <c r="CI230" s="44"/>
      <c r="CJ230" s="50"/>
      <c r="CK230" s="50"/>
    </row>
    <row r="231" spans="3:89" hidden="1" x14ac:dyDescent="0.3">
      <c r="C231" s="19"/>
      <c r="D231" s="19"/>
      <c r="E231" s="19"/>
      <c r="F231" s="19"/>
      <c r="G231" s="19"/>
      <c r="H231" s="19"/>
      <c r="I231" s="19"/>
      <c r="J231" s="19"/>
      <c r="K231" s="18">
        <v>2</v>
      </c>
      <c r="L231" s="19"/>
      <c r="M231" s="21" t="str">
        <f>""</f>
        <v/>
      </c>
      <c r="N231" s="19"/>
      <c r="O231" s="19"/>
      <c r="P231" s="19"/>
      <c r="Q231" s="19"/>
      <c r="R231" s="19"/>
      <c r="S231" s="19"/>
      <c r="T231" s="19"/>
      <c r="U231" s="19"/>
      <c r="V231" s="19"/>
      <c r="W231" s="19"/>
      <c r="X231" s="19"/>
      <c r="Y231" s="19"/>
      <c r="Z231" s="19"/>
      <c r="AA231" s="19"/>
      <c r="AB231" s="19"/>
      <c r="AC231" s="19"/>
      <c r="AD231" s="44"/>
      <c r="AE231" s="44"/>
      <c r="AF231" s="44"/>
      <c r="AG231" s="44"/>
      <c r="AH231" s="50"/>
      <c r="AI231" s="50"/>
      <c r="BD231" s="20"/>
      <c r="BE231" s="19"/>
      <c r="BF231" s="19"/>
      <c r="BG231" s="19"/>
      <c r="BH231" s="19"/>
      <c r="BI231" s="19"/>
      <c r="BJ231" s="19"/>
      <c r="BK231" s="19"/>
      <c r="BL231" s="19"/>
      <c r="BM231" s="18"/>
      <c r="BN231" s="19"/>
      <c r="BP231" s="19"/>
      <c r="BQ231" s="19"/>
      <c r="BR231" s="19"/>
      <c r="BS231" s="19"/>
      <c r="BT231" s="19"/>
      <c r="BU231" s="19"/>
      <c r="BV231" s="19"/>
      <c r="BW231" s="19"/>
      <c r="BX231" s="19"/>
      <c r="BY231" s="19"/>
      <c r="BZ231" s="19"/>
      <c r="CA231" s="19"/>
      <c r="CB231" s="19"/>
      <c r="CC231" s="19"/>
      <c r="CD231" s="19"/>
      <c r="CE231" s="19"/>
      <c r="CF231" s="44"/>
      <c r="CG231" s="44"/>
      <c r="CH231" s="44"/>
      <c r="CI231" s="44"/>
      <c r="CJ231" s="50"/>
      <c r="CK231" s="50"/>
    </row>
    <row r="232" spans="3:89" hidden="1" x14ac:dyDescent="0.3">
      <c r="C232" s="19"/>
      <c r="D232" s="19"/>
      <c r="E232" s="19"/>
      <c r="F232" s="19"/>
      <c r="G232" s="19"/>
      <c r="H232" s="19"/>
      <c r="I232" s="19"/>
      <c r="J232" s="19"/>
      <c r="K232" s="18">
        <v>3</v>
      </c>
      <c r="L232" s="19"/>
      <c r="M232" s="21" t="str">
        <f>""</f>
        <v/>
      </c>
      <c r="N232" s="19"/>
      <c r="O232" s="19"/>
      <c r="P232" s="19"/>
      <c r="Q232" s="19"/>
      <c r="R232" s="19"/>
      <c r="S232" s="19"/>
      <c r="T232" s="19"/>
      <c r="U232" s="19"/>
      <c r="V232" s="19"/>
      <c r="W232" s="19"/>
      <c r="X232" s="19"/>
      <c r="Y232" s="19"/>
      <c r="Z232" s="19"/>
      <c r="AA232" s="19"/>
      <c r="AB232" s="19"/>
      <c r="AC232" s="19"/>
      <c r="AD232" s="44"/>
      <c r="AE232" s="44"/>
      <c r="AF232" s="44"/>
      <c r="AG232" s="44"/>
      <c r="AH232" s="50"/>
      <c r="AI232" s="50"/>
      <c r="BD232" s="20"/>
      <c r="BE232" s="19"/>
      <c r="BF232" s="19"/>
      <c r="BG232" s="19"/>
      <c r="BH232" s="19"/>
      <c r="BI232" s="19"/>
      <c r="BJ232" s="19"/>
      <c r="BK232" s="19"/>
      <c r="BL232" s="19"/>
      <c r="BM232" s="18"/>
      <c r="BN232" s="19"/>
      <c r="BP232" s="19"/>
      <c r="BQ232" s="19"/>
      <c r="BR232" s="19"/>
      <c r="BS232" s="19"/>
      <c r="BT232" s="19"/>
      <c r="BU232" s="19"/>
      <c r="BV232" s="19"/>
      <c r="BW232" s="19"/>
      <c r="BX232" s="19"/>
      <c r="BY232" s="19"/>
      <c r="BZ232" s="19"/>
      <c r="CA232" s="19"/>
      <c r="CB232" s="19"/>
      <c r="CC232" s="19"/>
      <c r="CD232" s="19"/>
      <c r="CE232" s="19"/>
      <c r="CF232" s="44"/>
      <c r="CG232" s="44"/>
      <c r="CH232" s="44"/>
      <c r="CI232" s="44"/>
      <c r="CJ232" s="50"/>
      <c r="CK232" s="50"/>
    </row>
    <row r="233" spans="3:89" hidden="1" x14ac:dyDescent="0.3">
      <c r="C233" s="19"/>
      <c r="D233" s="19"/>
      <c r="E233" s="19"/>
      <c r="F233" s="19"/>
      <c r="G233" s="19"/>
      <c r="H233" s="19"/>
      <c r="I233" s="19"/>
      <c r="J233" s="19"/>
      <c r="K233" s="18">
        <v>4</v>
      </c>
      <c r="L233" s="19"/>
      <c r="M233" s="21" t="str">
        <f>""</f>
        <v/>
      </c>
      <c r="N233" s="19"/>
      <c r="O233" s="19"/>
      <c r="P233" s="19"/>
      <c r="Q233" s="19"/>
      <c r="R233" s="19"/>
      <c r="S233" s="19"/>
      <c r="T233" s="19"/>
      <c r="U233" s="19"/>
      <c r="V233" s="19"/>
      <c r="W233" s="19"/>
      <c r="X233" s="19"/>
      <c r="Y233" s="19"/>
      <c r="Z233" s="19"/>
      <c r="AA233" s="19"/>
      <c r="AB233" s="19"/>
      <c r="AC233" s="19"/>
      <c r="AD233" s="44"/>
      <c r="AE233" s="44"/>
      <c r="AF233" s="44"/>
      <c r="AG233" s="44"/>
      <c r="AH233" s="50"/>
      <c r="AI233" s="50"/>
      <c r="BD233" s="20"/>
      <c r="BE233" s="19"/>
      <c r="BF233" s="19"/>
      <c r="BG233" s="19"/>
      <c r="BH233" s="19"/>
      <c r="BI233" s="19"/>
      <c r="BJ233" s="19"/>
      <c r="BK233" s="19"/>
      <c r="BL233" s="19"/>
      <c r="BM233" s="18"/>
      <c r="BN233" s="19"/>
      <c r="BP233" s="19"/>
      <c r="BQ233" s="19"/>
      <c r="BR233" s="19"/>
      <c r="BS233" s="19"/>
      <c r="BT233" s="19"/>
      <c r="BU233" s="19"/>
      <c r="BV233" s="19"/>
      <c r="BW233" s="19"/>
      <c r="BX233" s="19"/>
      <c r="BY233" s="19"/>
      <c r="BZ233" s="19"/>
      <c r="CA233" s="19"/>
      <c r="CB233" s="19"/>
      <c r="CC233" s="19"/>
      <c r="CD233" s="19"/>
      <c r="CE233" s="19"/>
      <c r="CF233" s="44"/>
      <c r="CG233" s="44"/>
      <c r="CH233" s="44"/>
      <c r="CI233" s="44"/>
      <c r="CJ233" s="50"/>
      <c r="CK233" s="50"/>
    </row>
    <row r="234" spans="3:89" hidden="1" x14ac:dyDescent="0.3">
      <c r="C234" s="19"/>
      <c r="D234" s="19"/>
      <c r="E234" s="19"/>
      <c r="F234" s="19"/>
      <c r="G234" s="19"/>
      <c r="H234" s="19"/>
      <c r="I234" s="19"/>
      <c r="J234" s="19"/>
      <c r="K234" s="19">
        <v>5</v>
      </c>
      <c r="L234" s="19"/>
      <c r="N234" s="19"/>
      <c r="O234" s="19"/>
      <c r="P234" s="19"/>
      <c r="Q234" s="19"/>
      <c r="R234" s="19"/>
      <c r="S234" s="19"/>
      <c r="T234" s="19"/>
      <c r="U234" s="19"/>
      <c r="V234" s="19"/>
      <c r="W234" s="19"/>
      <c r="X234" s="19"/>
      <c r="Y234" s="19"/>
      <c r="Z234" s="19"/>
      <c r="AA234" s="19"/>
      <c r="AB234" s="19"/>
      <c r="AC234" s="19"/>
      <c r="AD234" s="44"/>
      <c r="AE234" s="44"/>
      <c r="AF234" s="44"/>
      <c r="AG234" s="44"/>
      <c r="AH234" s="50"/>
      <c r="AI234" s="50"/>
      <c r="BD234" s="20"/>
      <c r="BE234" s="19"/>
      <c r="BF234" s="19"/>
      <c r="BG234" s="19"/>
      <c r="BH234" s="19"/>
      <c r="BI234" s="19"/>
      <c r="BJ234" s="19"/>
      <c r="BK234" s="19"/>
      <c r="BL234" s="19"/>
      <c r="BM234" s="18"/>
      <c r="BN234" s="19"/>
      <c r="BP234" s="19"/>
      <c r="BQ234" s="19"/>
      <c r="BR234" s="19"/>
      <c r="BS234" s="19"/>
      <c r="BT234" s="19"/>
      <c r="BU234" s="19"/>
      <c r="BV234" s="19"/>
      <c r="BW234" s="19"/>
      <c r="BX234" s="19"/>
      <c r="BY234" s="19"/>
      <c r="BZ234" s="19"/>
      <c r="CA234" s="19"/>
      <c r="CB234" s="19"/>
      <c r="CC234" s="19"/>
      <c r="CD234" s="19"/>
      <c r="CE234" s="19"/>
      <c r="CF234" s="44"/>
      <c r="CG234" s="44"/>
      <c r="CH234" s="44"/>
      <c r="CI234" s="44"/>
      <c r="CJ234" s="50"/>
      <c r="CK234" s="50"/>
    </row>
    <row r="235" spans="3:89" hidden="1" x14ac:dyDescent="0.3">
      <c r="C235" s="19"/>
      <c r="D235" s="19"/>
      <c r="E235" s="19"/>
      <c r="F235" s="19"/>
      <c r="G235" s="19"/>
      <c r="H235" s="19"/>
      <c r="I235" s="19"/>
      <c r="J235" s="19"/>
      <c r="K235" s="19">
        <v>6</v>
      </c>
      <c r="L235" s="19"/>
      <c r="N235" s="19"/>
      <c r="O235" s="19"/>
      <c r="P235" s="19"/>
      <c r="Q235" s="19"/>
      <c r="R235" s="19"/>
      <c r="S235" s="19"/>
      <c r="T235" s="19"/>
      <c r="U235" s="19"/>
      <c r="V235" s="19"/>
      <c r="W235" s="19"/>
      <c r="X235" s="19"/>
      <c r="Y235" s="19"/>
      <c r="Z235" s="19"/>
      <c r="AA235" s="19"/>
      <c r="AB235" s="19"/>
      <c r="AC235" s="19"/>
      <c r="AD235" s="44"/>
      <c r="AE235" s="44"/>
      <c r="AF235" s="44"/>
      <c r="AG235" s="44"/>
      <c r="AH235" s="50"/>
      <c r="AI235" s="50"/>
      <c r="BD235" s="20"/>
      <c r="BE235" s="19"/>
      <c r="BF235" s="19"/>
      <c r="BG235" s="19"/>
      <c r="BH235" s="19"/>
      <c r="BI235" s="19"/>
      <c r="BJ235" s="19"/>
      <c r="BK235" s="19"/>
      <c r="BL235" s="19"/>
      <c r="BM235" s="18"/>
      <c r="BN235" s="19"/>
      <c r="BP235" s="19"/>
      <c r="BQ235" s="19"/>
      <c r="BR235" s="19"/>
      <c r="BS235" s="19"/>
      <c r="BT235" s="19"/>
      <c r="BU235" s="19"/>
      <c r="BV235" s="19"/>
      <c r="BW235" s="19"/>
      <c r="BX235" s="19"/>
      <c r="BY235" s="19"/>
      <c r="BZ235" s="19"/>
      <c r="CA235" s="19"/>
      <c r="CB235" s="19"/>
      <c r="CC235" s="19"/>
      <c r="CD235" s="19"/>
      <c r="CE235" s="19"/>
      <c r="CF235" s="44"/>
      <c r="CG235" s="44"/>
      <c r="CH235" s="44"/>
      <c r="CI235" s="44"/>
      <c r="CJ235" s="50"/>
      <c r="CK235" s="50"/>
    </row>
    <row r="236" spans="3:89" hidden="1" x14ac:dyDescent="0.3">
      <c r="C236" s="19"/>
      <c r="D236" s="19"/>
      <c r="E236" s="19"/>
      <c r="F236" s="19"/>
      <c r="G236" s="19"/>
      <c r="H236" s="19"/>
      <c r="I236" s="19"/>
      <c r="J236" s="19"/>
      <c r="K236" s="18">
        <v>7</v>
      </c>
      <c r="L236" s="19"/>
      <c r="N236" s="19"/>
      <c r="O236" s="19"/>
      <c r="P236" s="19"/>
      <c r="Q236" s="19"/>
      <c r="R236" s="19"/>
      <c r="S236" s="19"/>
      <c r="T236" s="19"/>
      <c r="U236" s="19"/>
      <c r="V236" s="19"/>
      <c r="W236" s="19"/>
      <c r="X236" s="19"/>
      <c r="Y236" s="19"/>
      <c r="Z236" s="19"/>
      <c r="AA236" s="19"/>
      <c r="AB236" s="19"/>
      <c r="AC236" s="19"/>
      <c r="AD236" s="44"/>
      <c r="AE236" s="44"/>
      <c r="AF236" s="44"/>
      <c r="AG236" s="44"/>
      <c r="AH236" s="50"/>
      <c r="AI236" s="50"/>
      <c r="BD236" s="20"/>
      <c r="BE236" s="19"/>
      <c r="BF236" s="19"/>
      <c r="BG236" s="19"/>
      <c r="BH236" s="19"/>
      <c r="BI236" s="19"/>
      <c r="BJ236" s="19"/>
      <c r="BK236" s="19"/>
      <c r="BL236" s="19"/>
      <c r="BM236" s="18"/>
      <c r="BN236" s="19"/>
      <c r="BP236" s="19"/>
      <c r="BQ236" s="19"/>
      <c r="BR236" s="19"/>
      <c r="BS236" s="19"/>
      <c r="BT236" s="19"/>
      <c r="BU236" s="19"/>
      <c r="BV236" s="19"/>
      <c r="BW236" s="19"/>
      <c r="BX236" s="19"/>
      <c r="BY236" s="19"/>
      <c r="BZ236" s="19"/>
      <c r="CA236" s="19"/>
      <c r="CB236" s="19"/>
      <c r="CC236" s="19"/>
      <c r="CD236" s="19"/>
      <c r="CE236" s="19"/>
      <c r="CF236" s="44"/>
      <c r="CG236" s="44"/>
      <c r="CH236" s="44"/>
      <c r="CI236" s="44"/>
      <c r="CJ236" s="50"/>
      <c r="CK236" s="50"/>
    </row>
    <row r="237" spans="3:89" hidden="1" x14ac:dyDescent="0.3">
      <c r="C237" s="19"/>
      <c r="D237" s="19"/>
      <c r="E237" s="19"/>
      <c r="F237" s="19"/>
      <c r="G237" s="19"/>
      <c r="H237" s="19"/>
      <c r="I237" s="19"/>
      <c r="J237" s="19"/>
      <c r="K237" s="18">
        <v>8</v>
      </c>
      <c r="L237" s="19"/>
      <c r="M237" s="21" t="str">
        <f>""</f>
        <v/>
      </c>
      <c r="N237" s="19"/>
      <c r="O237" s="19"/>
      <c r="P237" s="19"/>
      <c r="Q237" s="19"/>
      <c r="R237" s="19"/>
      <c r="S237" s="19"/>
      <c r="T237" s="19"/>
      <c r="U237" s="19"/>
      <c r="V237" s="19"/>
      <c r="W237" s="19"/>
      <c r="X237" s="19"/>
      <c r="Y237" s="19"/>
      <c r="Z237" s="19"/>
      <c r="AA237" s="19"/>
      <c r="AB237" s="19"/>
      <c r="AC237" s="19"/>
      <c r="AD237" s="44"/>
      <c r="AE237" s="44"/>
      <c r="AF237" s="44"/>
      <c r="AG237" s="44"/>
      <c r="AH237" s="50"/>
      <c r="AI237" s="50"/>
      <c r="BD237" s="20"/>
      <c r="BE237" s="19"/>
      <c r="BF237" s="19"/>
      <c r="BG237" s="19"/>
      <c r="BH237" s="19"/>
      <c r="BI237" s="19"/>
      <c r="BJ237" s="19"/>
      <c r="BK237" s="19"/>
      <c r="BL237" s="19"/>
      <c r="BM237" s="18"/>
      <c r="BN237" s="19"/>
      <c r="BP237" s="19"/>
      <c r="BQ237" s="19"/>
      <c r="BR237" s="19"/>
      <c r="BS237" s="19"/>
      <c r="BT237" s="19"/>
      <c r="BU237" s="19"/>
      <c r="BV237" s="19"/>
      <c r="BW237" s="19"/>
      <c r="BX237" s="19"/>
      <c r="BY237" s="19"/>
      <c r="BZ237" s="19"/>
      <c r="CA237" s="19"/>
      <c r="CB237" s="19"/>
      <c r="CC237" s="19"/>
      <c r="CD237" s="19"/>
      <c r="CE237" s="19"/>
      <c r="CF237" s="44"/>
      <c r="CG237" s="44"/>
      <c r="CH237" s="44"/>
      <c r="CI237" s="44"/>
      <c r="CJ237" s="50"/>
      <c r="CK237" s="50"/>
    </row>
    <row r="238" spans="3:89" hidden="1" x14ac:dyDescent="0.3">
      <c r="C238" s="19"/>
      <c r="D238" s="19"/>
      <c r="E238" s="19"/>
      <c r="F238" s="19"/>
      <c r="G238" s="19"/>
      <c r="H238" s="19"/>
      <c r="I238" s="19"/>
      <c r="J238" s="19"/>
      <c r="K238" s="19" t="s">
        <v>147</v>
      </c>
      <c r="L238" s="19"/>
      <c r="N238" s="19"/>
      <c r="O238" s="19"/>
      <c r="P238" s="19"/>
      <c r="Q238" s="19"/>
      <c r="R238" s="19"/>
      <c r="S238" s="19"/>
      <c r="T238" s="19"/>
      <c r="U238" s="19"/>
      <c r="V238" s="19"/>
      <c r="W238" s="19"/>
      <c r="X238" s="19"/>
      <c r="Y238" s="19"/>
      <c r="Z238" s="19"/>
      <c r="AA238" s="19"/>
      <c r="AB238" s="19"/>
      <c r="AC238" s="19"/>
      <c r="AD238" s="44"/>
      <c r="AE238" s="44"/>
      <c r="AF238" s="44"/>
      <c r="AG238" s="44"/>
      <c r="AH238" s="50"/>
      <c r="AI238" s="50"/>
      <c r="BD238" s="20"/>
      <c r="BE238" s="19"/>
      <c r="BF238" s="19"/>
      <c r="BG238" s="19"/>
      <c r="BH238" s="19"/>
      <c r="BI238" s="19"/>
      <c r="BJ238" s="19"/>
      <c r="BK238" s="19"/>
      <c r="BL238" s="19"/>
      <c r="BM238" s="19"/>
      <c r="BN238" s="19"/>
      <c r="BP238" s="19"/>
      <c r="BQ238" s="19"/>
      <c r="BR238" s="19"/>
      <c r="BS238" s="19"/>
      <c r="BT238" s="19"/>
      <c r="BU238" s="19"/>
      <c r="BV238" s="19"/>
      <c r="BW238" s="19"/>
      <c r="BX238" s="19"/>
      <c r="BY238" s="19"/>
      <c r="BZ238" s="19"/>
      <c r="CA238" s="19"/>
      <c r="CB238" s="19"/>
      <c r="CC238" s="19"/>
      <c r="CD238" s="19"/>
      <c r="CE238" s="19"/>
      <c r="CF238" s="44"/>
      <c r="CG238" s="44"/>
      <c r="CH238" s="44"/>
      <c r="CI238" s="44"/>
      <c r="CJ238" s="50"/>
      <c r="CK238" s="50"/>
    </row>
    <row r="239" spans="3:89" hidden="1" x14ac:dyDescent="0.3">
      <c r="C239" s="19"/>
      <c r="D239" s="19"/>
      <c r="E239" s="19"/>
      <c r="F239" s="19"/>
      <c r="G239" s="19"/>
      <c r="H239" s="19"/>
      <c r="I239" s="19"/>
      <c r="J239" s="19"/>
      <c r="L239" s="19"/>
      <c r="N239" s="19"/>
      <c r="O239" s="19"/>
      <c r="P239" s="19"/>
      <c r="Q239" s="19"/>
      <c r="R239" s="19"/>
      <c r="S239" s="19"/>
      <c r="T239" s="19"/>
      <c r="U239" s="19"/>
      <c r="V239" s="19"/>
      <c r="W239" s="19"/>
      <c r="X239" s="19"/>
      <c r="Y239" s="19"/>
      <c r="Z239" s="19"/>
      <c r="AA239" s="19"/>
      <c r="AB239" s="19"/>
      <c r="AC239" s="19"/>
      <c r="AD239" s="44"/>
      <c r="AE239" s="44"/>
      <c r="AF239" s="44"/>
      <c r="AG239" s="44"/>
      <c r="AH239" s="50"/>
      <c r="AI239" s="50"/>
      <c r="BD239" s="20"/>
      <c r="BE239" s="19"/>
      <c r="BF239" s="19"/>
      <c r="BG239" s="19"/>
      <c r="BH239" s="19"/>
      <c r="BI239" s="19"/>
      <c r="BJ239" s="19"/>
      <c r="BK239" s="19"/>
      <c r="BL239" s="19"/>
      <c r="BM239" s="19"/>
      <c r="BN239" s="19"/>
      <c r="BP239" s="19"/>
      <c r="BQ239" s="19"/>
      <c r="BR239" s="19"/>
      <c r="BS239" s="19"/>
      <c r="BT239" s="19"/>
      <c r="BU239" s="19"/>
      <c r="BV239" s="19"/>
      <c r="BW239" s="19"/>
      <c r="BX239" s="19"/>
      <c r="BY239" s="19"/>
      <c r="BZ239" s="19"/>
      <c r="CA239" s="19"/>
      <c r="CB239" s="19"/>
      <c r="CC239" s="19"/>
      <c r="CD239" s="19"/>
      <c r="CE239" s="19"/>
      <c r="CF239" s="44"/>
      <c r="CG239" s="44"/>
      <c r="CH239" s="44"/>
      <c r="CI239" s="44"/>
      <c r="CJ239" s="50"/>
      <c r="CK239" s="50"/>
    </row>
    <row r="240" spans="3:89" hidden="1" x14ac:dyDescent="0.3">
      <c r="C240" s="19"/>
      <c r="D240" s="19"/>
      <c r="E240" s="19"/>
      <c r="F240" s="19"/>
      <c r="G240" s="19"/>
      <c r="H240" s="19"/>
      <c r="I240" s="19"/>
      <c r="J240" s="19"/>
      <c r="K240" s="19"/>
      <c r="L240" s="19"/>
      <c r="N240" s="19"/>
      <c r="O240" s="19"/>
      <c r="P240" s="19"/>
      <c r="Q240" s="19"/>
      <c r="R240" s="19"/>
      <c r="S240" s="19"/>
      <c r="T240" s="19"/>
      <c r="U240" s="19"/>
      <c r="V240" s="19"/>
      <c r="W240" s="19"/>
      <c r="X240" s="19"/>
      <c r="Y240" s="19"/>
      <c r="Z240" s="19"/>
      <c r="AA240" s="19"/>
      <c r="AB240" s="19"/>
      <c r="AC240" s="19"/>
      <c r="AD240" s="44"/>
      <c r="AE240" s="44"/>
      <c r="AF240" s="44"/>
      <c r="AG240" s="44"/>
      <c r="AH240" s="50"/>
      <c r="AI240" s="50"/>
      <c r="BD240" s="20"/>
      <c r="BE240" s="19"/>
      <c r="BF240" s="19"/>
      <c r="BG240" s="19"/>
      <c r="BH240" s="19"/>
      <c r="BI240" s="19"/>
      <c r="BJ240" s="19"/>
      <c r="BK240" s="19"/>
      <c r="BL240" s="19"/>
      <c r="BM240" s="19"/>
      <c r="BN240" s="19"/>
      <c r="BP240" s="19"/>
      <c r="BQ240" s="19"/>
      <c r="BR240" s="19"/>
      <c r="BS240" s="19"/>
      <c r="BT240" s="19"/>
      <c r="BU240" s="19"/>
      <c r="BV240" s="19"/>
      <c r="BW240" s="19"/>
      <c r="BX240" s="19"/>
      <c r="BY240" s="19"/>
      <c r="BZ240" s="19"/>
      <c r="CA240" s="19"/>
      <c r="CB240" s="19"/>
      <c r="CC240" s="19"/>
      <c r="CD240" s="19"/>
      <c r="CE240" s="19"/>
      <c r="CF240" s="44"/>
      <c r="CG240" s="44"/>
      <c r="CH240" s="44"/>
      <c r="CI240" s="44"/>
      <c r="CJ240" s="50"/>
      <c r="CK240" s="50"/>
    </row>
    <row r="241" spans="3:89" hidden="1" x14ac:dyDescent="0.3">
      <c r="C241" s="19"/>
      <c r="D241" s="19"/>
      <c r="E241" s="19"/>
      <c r="F241" s="19"/>
      <c r="G241" s="19"/>
      <c r="H241" s="19"/>
      <c r="I241" s="19"/>
      <c r="J241" s="19"/>
      <c r="K241" s="19"/>
      <c r="L241" s="19"/>
      <c r="N241" s="19"/>
      <c r="O241" s="19"/>
      <c r="P241" s="19"/>
      <c r="Q241" s="19"/>
      <c r="R241" s="19"/>
      <c r="S241" s="19"/>
      <c r="T241" s="19"/>
      <c r="U241" s="19"/>
      <c r="V241" s="19"/>
      <c r="W241" s="19"/>
      <c r="X241" s="19"/>
      <c r="Y241" s="19"/>
      <c r="Z241" s="19"/>
      <c r="AA241" s="19"/>
      <c r="AB241" s="19"/>
      <c r="AC241" s="19"/>
      <c r="AD241" s="44"/>
      <c r="AE241" s="44"/>
      <c r="AF241" s="44"/>
      <c r="AG241" s="44"/>
      <c r="AH241" s="50"/>
      <c r="AI241" s="50"/>
      <c r="BD241" s="20"/>
      <c r="BE241" s="19"/>
      <c r="BF241" s="19"/>
      <c r="BG241" s="19"/>
      <c r="BH241" s="19"/>
      <c r="BI241" s="19"/>
      <c r="BJ241" s="19"/>
      <c r="BK241" s="19"/>
      <c r="BL241" s="19"/>
      <c r="BM241" s="19"/>
      <c r="BN241" s="19"/>
      <c r="BP241" s="19"/>
      <c r="BQ241" s="19"/>
      <c r="BR241" s="19"/>
      <c r="BS241" s="19"/>
      <c r="BT241" s="19"/>
      <c r="BU241" s="19"/>
      <c r="BV241" s="19"/>
      <c r="BW241" s="19"/>
      <c r="BX241" s="19"/>
      <c r="BY241" s="19"/>
      <c r="BZ241" s="19"/>
      <c r="CA241" s="19"/>
      <c r="CB241" s="19"/>
      <c r="CC241" s="19"/>
      <c r="CD241" s="19"/>
      <c r="CE241" s="19"/>
      <c r="CF241" s="44"/>
      <c r="CG241" s="44"/>
      <c r="CH241" s="44"/>
      <c r="CI241" s="44"/>
      <c r="CJ241" s="50"/>
      <c r="CK241" s="50"/>
    </row>
    <row r="242" spans="3:89" hidden="1" x14ac:dyDescent="0.3">
      <c r="C242" s="19"/>
      <c r="D242" s="19"/>
      <c r="E242" s="19"/>
      <c r="F242" s="19"/>
      <c r="G242" s="19"/>
      <c r="H242" s="19"/>
      <c r="I242" s="19"/>
      <c r="J242" s="19"/>
      <c r="K242" s="19"/>
      <c r="L242" s="19"/>
      <c r="AD242" s="44"/>
      <c r="AE242" s="44"/>
      <c r="AF242" s="44"/>
      <c r="AG242" s="44"/>
      <c r="AH242" s="50"/>
      <c r="AI242" s="50"/>
      <c r="BD242" s="20"/>
      <c r="BE242" s="19"/>
      <c r="BF242" s="19"/>
      <c r="BG242" s="19"/>
      <c r="BH242" s="19"/>
      <c r="BI242" s="19"/>
      <c r="BJ242" s="19"/>
      <c r="BK242" s="19"/>
      <c r="BL242" s="19"/>
      <c r="BM242" s="19"/>
      <c r="BN242" s="19"/>
      <c r="CF242" s="44"/>
      <c r="CG242" s="44"/>
      <c r="CH242" s="44"/>
      <c r="CI242" s="44"/>
      <c r="CJ242" s="50"/>
      <c r="CK242" s="50"/>
    </row>
    <row r="243" spans="3:89" hidden="1" x14ac:dyDescent="0.3">
      <c r="C243" s="19"/>
      <c r="D243" s="19"/>
      <c r="E243" s="19"/>
      <c r="F243" s="19"/>
      <c r="G243" s="19"/>
      <c r="H243" s="19"/>
      <c r="I243" s="19"/>
      <c r="J243" s="19"/>
      <c r="K243" s="19"/>
      <c r="L243" s="19"/>
      <c r="N243" s="19"/>
      <c r="O243" s="19"/>
      <c r="P243" s="19"/>
      <c r="Q243" s="19"/>
      <c r="R243" s="19"/>
      <c r="S243" s="19"/>
      <c r="T243" s="19"/>
      <c r="U243" s="19"/>
      <c r="V243" s="19"/>
      <c r="AD243" s="44"/>
      <c r="AE243" s="44"/>
      <c r="AF243" s="44"/>
      <c r="AG243" s="44"/>
      <c r="AH243" s="50"/>
      <c r="AI243" s="50"/>
      <c r="BD243" s="20"/>
      <c r="BE243" s="19"/>
      <c r="BF243" s="19"/>
      <c r="BG243" s="19"/>
      <c r="BH243" s="19"/>
      <c r="BI243" s="19"/>
      <c r="BJ243" s="19"/>
      <c r="BK243" s="19"/>
      <c r="BL243" s="19"/>
      <c r="BM243" s="19"/>
      <c r="BN243" s="19"/>
      <c r="BP243" s="19"/>
      <c r="BQ243" s="19"/>
      <c r="BR243" s="19"/>
      <c r="BS243" s="19"/>
      <c r="BT243" s="19"/>
      <c r="BU243" s="19"/>
      <c r="BV243" s="19"/>
      <c r="BW243" s="19"/>
      <c r="BX243" s="19"/>
      <c r="CF243" s="44"/>
      <c r="CG243" s="44"/>
      <c r="CH243" s="44"/>
      <c r="CI243" s="44"/>
      <c r="CJ243" s="50"/>
      <c r="CK243" s="50"/>
    </row>
    <row r="244" spans="3:89" hidden="1" x14ac:dyDescent="0.3">
      <c r="C244" s="19"/>
      <c r="D244" s="19"/>
      <c r="E244" s="19"/>
      <c r="F244" s="19"/>
      <c r="G244" s="19"/>
      <c r="H244" s="19"/>
      <c r="I244" s="19"/>
      <c r="J244" s="19"/>
      <c r="K244" s="19"/>
      <c r="L244" s="19"/>
      <c r="N244" s="19"/>
      <c r="O244" s="19"/>
      <c r="P244" s="19"/>
      <c r="Q244" s="19"/>
      <c r="R244" s="19"/>
      <c r="S244" s="19"/>
      <c r="T244" s="19"/>
      <c r="U244" s="19"/>
      <c r="V244" s="19"/>
      <c r="AD244" s="44"/>
      <c r="AE244" s="44"/>
      <c r="AF244" s="44"/>
      <c r="AG244" s="44"/>
      <c r="AH244" s="50"/>
      <c r="AI244" s="50"/>
      <c r="BD244" s="20"/>
      <c r="BE244" s="19"/>
      <c r="BF244" s="19"/>
      <c r="BG244" s="19"/>
      <c r="BH244" s="19"/>
      <c r="BI244" s="19"/>
      <c r="BJ244" s="19"/>
      <c r="BK244" s="19"/>
      <c r="BL244" s="19"/>
      <c r="BM244" s="19"/>
      <c r="BN244" s="19"/>
      <c r="BP244" s="19"/>
      <c r="BQ244" s="19"/>
      <c r="BR244" s="19"/>
      <c r="BS244" s="19"/>
      <c r="BT244" s="19"/>
      <c r="BU244" s="19"/>
      <c r="BV244" s="19"/>
      <c r="BW244" s="19"/>
      <c r="BX244" s="19"/>
      <c r="CF244" s="44"/>
      <c r="CG244" s="44"/>
      <c r="CH244" s="44"/>
      <c r="CI244" s="44"/>
      <c r="CJ244" s="50"/>
      <c r="CK244" s="50"/>
    </row>
    <row r="245" spans="3:89" hidden="1" x14ac:dyDescent="0.3">
      <c r="C245" s="19"/>
      <c r="D245" s="19"/>
      <c r="E245" s="19"/>
      <c r="F245" s="19"/>
      <c r="G245" s="19"/>
      <c r="H245" s="19"/>
      <c r="I245" s="19"/>
      <c r="J245" s="19"/>
      <c r="K245" s="19"/>
      <c r="L245" s="19"/>
      <c r="N245" s="19"/>
      <c r="O245" s="19"/>
      <c r="P245" s="19"/>
      <c r="Q245" s="19"/>
      <c r="R245" s="19"/>
      <c r="S245" s="19"/>
      <c r="T245" s="19"/>
      <c r="U245" s="19"/>
      <c r="V245" s="19"/>
      <c r="AD245" s="44"/>
      <c r="AE245" s="44"/>
      <c r="AF245" s="44"/>
      <c r="AG245" s="44"/>
      <c r="AH245" s="50"/>
      <c r="AI245" s="50"/>
      <c r="BD245" s="20"/>
      <c r="BE245" s="19"/>
      <c r="BF245" s="19"/>
      <c r="BG245" s="19"/>
      <c r="BH245" s="19"/>
      <c r="BI245" s="19"/>
      <c r="BJ245" s="19"/>
      <c r="BK245" s="19"/>
      <c r="BL245" s="19"/>
      <c r="BM245" s="19"/>
      <c r="BN245" s="19"/>
      <c r="BP245" s="19"/>
      <c r="BQ245" s="19"/>
      <c r="BR245" s="19"/>
      <c r="BS245" s="19"/>
      <c r="BT245" s="19"/>
      <c r="BU245" s="19"/>
      <c r="BV245" s="19"/>
      <c r="BW245" s="19"/>
      <c r="BX245" s="19"/>
      <c r="CF245" s="44"/>
      <c r="CG245" s="44"/>
      <c r="CH245" s="44"/>
      <c r="CI245" s="44"/>
      <c r="CJ245" s="50"/>
      <c r="CK245" s="50"/>
    </row>
    <row r="246" spans="3:89" hidden="1" x14ac:dyDescent="0.3">
      <c r="C246" s="19"/>
      <c r="D246" s="19"/>
      <c r="E246" s="19"/>
      <c r="F246" s="19"/>
      <c r="G246" s="19"/>
      <c r="H246" s="19"/>
      <c r="I246" s="19"/>
      <c r="J246" s="19"/>
      <c r="L246" s="19"/>
      <c r="N246" s="19"/>
      <c r="O246" s="19"/>
      <c r="P246" s="19"/>
      <c r="Q246" s="19"/>
      <c r="R246" s="19"/>
      <c r="S246" s="19"/>
      <c r="T246" s="19"/>
      <c r="U246" s="19"/>
      <c r="V246" s="19"/>
      <c r="AD246" s="44"/>
      <c r="AE246" s="44"/>
      <c r="AF246" s="44"/>
      <c r="AG246" s="44"/>
      <c r="AH246" s="50"/>
      <c r="AI246" s="50"/>
      <c r="BD246" s="20"/>
      <c r="BE246" s="19"/>
      <c r="BF246" s="19"/>
      <c r="BG246" s="19"/>
      <c r="BH246" s="19"/>
      <c r="BI246" s="19"/>
      <c r="BJ246" s="19"/>
      <c r="BK246" s="19"/>
      <c r="BL246" s="19"/>
      <c r="BM246" s="19"/>
      <c r="BN246" s="19"/>
      <c r="BP246" s="19"/>
      <c r="BQ246" s="19"/>
      <c r="BR246" s="19"/>
      <c r="BS246" s="19"/>
      <c r="BT246" s="19"/>
      <c r="BU246" s="19"/>
      <c r="BV246" s="19"/>
      <c r="BW246" s="19"/>
      <c r="BX246" s="19"/>
      <c r="CF246" s="44"/>
      <c r="CG246" s="44"/>
      <c r="CH246" s="44"/>
      <c r="CI246" s="44"/>
      <c r="CJ246" s="50"/>
      <c r="CK246" s="50"/>
    </row>
    <row r="247" spans="3:89" hidden="1" x14ac:dyDescent="0.3">
      <c r="C247" s="19"/>
      <c r="D247" s="19"/>
      <c r="E247" s="19"/>
      <c r="F247" s="19"/>
      <c r="G247" s="19"/>
      <c r="H247" s="19"/>
      <c r="I247" s="19"/>
      <c r="J247" s="19"/>
      <c r="K247" s="19"/>
      <c r="L247" s="19"/>
      <c r="N247" s="19"/>
      <c r="O247" s="19"/>
      <c r="P247" s="19"/>
      <c r="Q247" s="19"/>
      <c r="R247" s="19"/>
      <c r="S247" s="19"/>
      <c r="T247" s="19"/>
      <c r="U247" s="19"/>
      <c r="V247" s="19"/>
      <c r="AD247" s="44"/>
      <c r="AE247" s="44"/>
      <c r="AF247" s="44"/>
      <c r="AG247" s="44"/>
      <c r="AH247" s="50"/>
      <c r="AI247" s="50"/>
      <c r="BD247" s="20"/>
      <c r="BE247" s="19"/>
      <c r="BF247" s="19"/>
      <c r="BG247" s="19"/>
      <c r="BH247" s="19"/>
      <c r="BI247" s="19"/>
      <c r="BJ247" s="19"/>
      <c r="BK247" s="19"/>
      <c r="BL247" s="19"/>
      <c r="BM247" s="19"/>
      <c r="BN247" s="19"/>
      <c r="BP247" s="19"/>
      <c r="BQ247" s="19"/>
      <c r="BR247" s="19"/>
      <c r="BS247" s="19"/>
      <c r="BT247" s="19"/>
      <c r="BU247" s="19"/>
      <c r="BV247" s="19"/>
      <c r="BW247" s="19"/>
      <c r="BX247" s="19"/>
      <c r="CF247" s="44"/>
      <c r="CG247" s="44"/>
      <c r="CH247" s="44"/>
      <c r="CI247" s="44"/>
      <c r="CJ247" s="50"/>
      <c r="CK247" s="50"/>
    </row>
    <row r="248" spans="3:89" hidden="1" x14ac:dyDescent="0.3">
      <c r="C248" s="19"/>
      <c r="D248" s="19"/>
      <c r="E248" s="19"/>
      <c r="F248" s="19"/>
      <c r="G248" s="19"/>
      <c r="H248" s="19"/>
      <c r="I248" s="19"/>
      <c r="J248" s="19"/>
      <c r="K248" s="19"/>
      <c r="L248" s="19"/>
      <c r="N248" s="19"/>
      <c r="O248" s="19"/>
      <c r="P248" s="19"/>
      <c r="Q248" s="19"/>
      <c r="R248" s="19"/>
      <c r="S248" s="19"/>
      <c r="T248" s="19"/>
      <c r="U248" s="19"/>
      <c r="V248" s="19"/>
      <c r="AD248" s="44"/>
      <c r="AE248" s="44"/>
      <c r="AF248" s="44"/>
      <c r="AG248" s="44"/>
      <c r="AH248" s="50"/>
      <c r="AI248" s="50"/>
      <c r="BD248" s="20"/>
      <c r="BE248" s="19"/>
      <c r="BF248" s="19"/>
      <c r="BG248" s="19"/>
      <c r="BH248" s="19"/>
      <c r="BI248" s="19"/>
      <c r="BJ248" s="19"/>
      <c r="BK248" s="19"/>
      <c r="BL248" s="19"/>
      <c r="BM248" s="19"/>
      <c r="BN248" s="19"/>
      <c r="BP248" s="19"/>
      <c r="BQ248" s="19"/>
      <c r="BR248" s="19"/>
      <c r="BS248" s="19"/>
      <c r="BT248" s="19"/>
      <c r="BU248" s="19"/>
      <c r="BV248" s="19"/>
      <c r="BW248" s="19"/>
      <c r="BX248" s="19"/>
      <c r="CF248" s="44"/>
      <c r="CG248" s="44"/>
      <c r="CH248" s="44"/>
      <c r="CI248" s="44"/>
      <c r="CJ248" s="50"/>
      <c r="CK248" s="50"/>
    </row>
    <row r="249" spans="3:89" hidden="1" x14ac:dyDescent="0.3">
      <c r="C249" s="19"/>
      <c r="D249" s="19"/>
      <c r="E249" s="19"/>
      <c r="F249" s="19"/>
      <c r="G249" s="19"/>
      <c r="H249" s="19"/>
      <c r="I249" s="19"/>
      <c r="J249" s="19"/>
      <c r="K249" s="19"/>
      <c r="L249" s="19"/>
      <c r="N249" s="19"/>
      <c r="O249" s="19"/>
      <c r="P249" s="19"/>
      <c r="Q249" s="19"/>
      <c r="R249" s="19"/>
      <c r="S249" s="19"/>
      <c r="T249" s="19"/>
      <c r="U249" s="19"/>
      <c r="V249" s="19"/>
      <c r="AD249" s="44"/>
      <c r="AE249" s="44"/>
      <c r="AF249" s="44"/>
      <c r="AG249" s="44"/>
      <c r="AH249" s="50"/>
      <c r="AI249" s="50"/>
      <c r="BD249" s="20"/>
      <c r="BE249" s="19"/>
      <c r="BF249" s="19"/>
      <c r="BG249" s="19"/>
      <c r="BH249" s="19"/>
      <c r="BI249" s="19"/>
      <c r="BJ249" s="19"/>
      <c r="BK249" s="19"/>
      <c r="BL249" s="19"/>
      <c r="BM249" s="19"/>
      <c r="BN249" s="19"/>
      <c r="BP249" s="19"/>
      <c r="BQ249" s="19"/>
      <c r="BR249" s="19"/>
      <c r="BS249" s="19"/>
      <c r="BT249" s="19"/>
      <c r="BU249" s="19"/>
      <c r="BV249" s="19"/>
      <c r="BW249" s="19"/>
      <c r="BX249" s="19"/>
      <c r="CF249" s="44"/>
      <c r="CG249" s="44"/>
      <c r="CH249" s="44"/>
      <c r="CI249" s="44"/>
      <c r="CJ249" s="50"/>
      <c r="CK249" s="50"/>
    </row>
    <row r="250" spans="3:89" hidden="1" x14ac:dyDescent="0.3">
      <c r="C250" s="19"/>
      <c r="D250" s="19"/>
      <c r="E250" s="19"/>
      <c r="F250" s="19"/>
      <c r="G250" s="19"/>
      <c r="H250" s="19"/>
      <c r="I250" s="19"/>
      <c r="J250" s="19"/>
      <c r="K250" s="19"/>
      <c r="L250" s="19"/>
      <c r="M250" s="19"/>
      <c r="N250" s="19"/>
      <c r="O250" s="19"/>
      <c r="P250" s="19"/>
      <c r="Q250" s="19"/>
      <c r="R250" s="19"/>
      <c r="S250" s="19"/>
      <c r="T250" s="19"/>
      <c r="U250" s="19"/>
      <c r="V250" s="19"/>
      <c r="AD250" s="44"/>
      <c r="AE250" s="44"/>
      <c r="AF250" s="44"/>
      <c r="AG250" s="44"/>
      <c r="AH250" s="50"/>
      <c r="AI250" s="50"/>
      <c r="BD250" s="20"/>
      <c r="BE250" s="19"/>
      <c r="BF250" s="19"/>
      <c r="BG250" s="19"/>
      <c r="BH250" s="19"/>
      <c r="BI250" s="19"/>
      <c r="BJ250" s="19"/>
      <c r="BK250" s="19"/>
      <c r="BL250" s="19"/>
      <c r="BM250" s="19"/>
      <c r="BN250" s="19"/>
      <c r="BO250" s="19"/>
      <c r="BP250" s="19"/>
      <c r="BQ250" s="19"/>
      <c r="BR250" s="19"/>
      <c r="BS250" s="19"/>
      <c r="BT250" s="19"/>
      <c r="BU250" s="19"/>
      <c r="BV250" s="19"/>
      <c r="BW250" s="19"/>
      <c r="BX250" s="19"/>
      <c r="CF250" s="44"/>
      <c r="CG250" s="44"/>
      <c r="CH250" s="44"/>
      <c r="CI250" s="44"/>
      <c r="CJ250" s="50"/>
      <c r="CK250" s="50"/>
    </row>
    <row r="251" spans="3:89" hidden="1" x14ac:dyDescent="0.3">
      <c r="C251" s="19"/>
      <c r="D251" s="19"/>
      <c r="E251" s="19"/>
      <c r="F251" s="19"/>
      <c r="G251" s="19"/>
      <c r="H251" s="19"/>
      <c r="I251" s="19"/>
      <c r="J251" s="19"/>
      <c r="K251" s="19"/>
      <c r="L251" s="19"/>
      <c r="M251" s="19"/>
      <c r="N251" s="19"/>
      <c r="O251" s="19"/>
      <c r="P251" s="19"/>
      <c r="Q251" s="19"/>
      <c r="R251" s="19"/>
      <c r="S251" s="19"/>
      <c r="T251" s="19"/>
      <c r="U251" s="19"/>
      <c r="V251" s="19"/>
      <c r="AD251" s="44"/>
      <c r="AE251" s="44"/>
      <c r="AF251" s="44"/>
      <c r="AG251" s="44"/>
      <c r="AH251" s="50"/>
      <c r="AI251" s="50"/>
      <c r="BD251" s="20"/>
      <c r="BE251" s="19"/>
      <c r="BF251" s="19"/>
      <c r="BG251" s="19"/>
      <c r="BH251" s="19"/>
      <c r="BI251" s="19"/>
      <c r="BJ251" s="19"/>
      <c r="BK251" s="19"/>
      <c r="BL251" s="19"/>
      <c r="BM251" s="19"/>
      <c r="BN251" s="19"/>
      <c r="BO251" s="19"/>
      <c r="BP251" s="19"/>
      <c r="BQ251" s="19"/>
      <c r="BR251" s="19"/>
      <c r="BS251" s="19"/>
      <c r="BT251" s="19"/>
      <c r="BU251" s="19"/>
      <c r="BV251" s="19"/>
      <c r="BW251" s="19"/>
      <c r="BX251" s="19"/>
      <c r="CF251" s="44"/>
      <c r="CG251" s="44"/>
      <c r="CH251" s="44"/>
      <c r="CI251" s="44"/>
      <c r="CJ251" s="50"/>
      <c r="CK251" s="50"/>
    </row>
    <row r="252" spans="3:89" hidden="1" x14ac:dyDescent="0.3">
      <c r="C252" s="19"/>
      <c r="D252" s="19"/>
      <c r="E252" s="19"/>
      <c r="F252" s="19"/>
      <c r="G252" s="19"/>
      <c r="H252" s="19"/>
      <c r="I252" s="19"/>
      <c r="J252" s="19"/>
      <c r="K252" s="19"/>
      <c r="L252" s="19"/>
      <c r="M252" s="19"/>
      <c r="N252" s="19"/>
      <c r="O252" s="19"/>
      <c r="P252" s="19"/>
      <c r="Q252" s="19"/>
      <c r="R252" s="19"/>
      <c r="S252" s="19"/>
      <c r="T252" s="19"/>
      <c r="U252" s="19"/>
      <c r="V252" s="19"/>
      <c r="AD252" s="44"/>
      <c r="AE252" s="44"/>
      <c r="AF252" s="44"/>
      <c r="AG252" s="44"/>
      <c r="AH252" s="50"/>
      <c r="AI252" s="50"/>
      <c r="BD252" s="20"/>
      <c r="BE252" s="19"/>
      <c r="BF252" s="19"/>
      <c r="BG252" s="19"/>
      <c r="BH252" s="19"/>
      <c r="BI252" s="19"/>
      <c r="BJ252" s="19"/>
      <c r="BK252" s="19"/>
      <c r="BL252" s="19"/>
      <c r="BM252" s="19"/>
      <c r="BN252" s="19"/>
      <c r="BO252" s="19"/>
      <c r="BP252" s="19"/>
      <c r="BQ252" s="19"/>
      <c r="BR252" s="19"/>
      <c r="BS252" s="19"/>
      <c r="BT252" s="19"/>
      <c r="BU252" s="19"/>
      <c r="BV252" s="19"/>
      <c r="BW252" s="19"/>
      <c r="BX252" s="19"/>
      <c r="CF252" s="44"/>
      <c r="CG252" s="44"/>
      <c r="CH252" s="44"/>
      <c r="CI252" s="44"/>
      <c r="CJ252" s="50"/>
      <c r="CK252" s="50"/>
    </row>
    <row r="253" spans="3:89" hidden="1" x14ac:dyDescent="0.3">
      <c r="C253" s="19"/>
      <c r="D253" s="19"/>
      <c r="E253" s="19"/>
      <c r="F253" s="19"/>
      <c r="G253" s="19"/>
      <c r="H253" s="19"/>
      <c r="I253" s="19"/>
      <c r="J253" s="19"/>
      <c r="K253" s="19"/>
      <c r="L253" s="19"/>
      <c r="M253" s="19"/>
      <c r="N253" s="19"/>
      <c r="O253" s="19"/>
      <c r="P253" s="19"/>
      <c r="Q253" s="19"/>
      <c r="R253" s="19"/>
      <c r="S253" s="19"/>
      <c r="T253" s="19"/>
      <c r="U253" s="19"/>
      <c r="V253" s="19"/>
      <c r="AD253" s="44"/>
      <c r="AE253" s="44"/>
      <c r="AF253" s="44"/>
      <c r="AG253" s="44"/>
      <c r="AH253" s="50"/>
      <c r="AI253" s="50"/>
      <c r="BD253" s="20"/>
      <c r="BE253" s="19"/>
      <c r="BF253" s="19"/>
      <c r="BG253" s="19"/>
      <c r="BH253" s="19"/>
      <c r="BI253" s="19"/>
      <c r="BJ253" s="19"/>
      <c r="BK253" s="19"/>
      <c r="BL253" s="19"/>
      <c r="BM253" s="19"/>
      <c r="BN253" s="19"/>
      <c r="BO253" s="19"/>
      <c r="BP253" s="19"/>
      <c r="BQ253" s="19"/>
      <c r="BR253" s="19"/>
      <c r="BS253" s="19"/>
      <c r="BT253" s="19"/>
      <c r="BU253" s="19"/>
      <c r="BV253" s="19"/>
      <c r="BW253" s="19"/>
      <c r="BX253" s="19"/>
      <c r="CF253" s="44"/>
      <c r="CG253" s="44"/>
      <c r="CH253" s="44"/>
      <c r="CI253" s="44"/>
      <c r="CJ253" s="50"/>
      <c r="CK253" s="50"/>
    </row>
    <row r="254" spans="3:89" hidden="1" x14ac:dyDescent="0.3">
      <c r="C254" s="19"/>
      <c r="D254" s="19"/>
      <c r="E254" s="19"/>
      <c r="F254" s="19"/>
      <c r="G254" s="19"/>
      <c r="H254" s="19"/>
      <c r="I254" s="19"/>
      <c r="J254" s="19"/>
      <c r="K254" s="19"/>
      <c r="L254" s="19"/>
      <c r="M254" s="19"/>
      <c r="N254" s="19"/>
      <c r="O254" s="19"/>
      <c r="P254" s="19"/>
      <c r="Q254" s="19"/>
      <c r="R254" s="19"/>
      <c r="S254" s="19"/>
      <c r="T254" s="19"/>
      <c r="U254" s="19"/>
      <c r="V254" s="19"/>
      <c r="AD254" s="44"/>
      <c r="AE254" s="44"/>
      <c r="AF254" s="44"/>
      <c r="AG254" s="44"/>
      <c r="AH254" s="50"/>
      <c r="AI254" s="50"/>
      <c r="BD254" s="20"/>
      <c r="BE254" s="19"/>
      <c r="BF254" s="19"/>
      <c r="BG254" s="19"/>
      <c r="BH254" s="19"/>
      <c r="BI254" s="19"/>
      <c r="BJ254" s="19"/>
      <c r="BK254" s="19"/>
      <c r="BL254" s="19"/>
      <c r="BM254" s="19"/>
      <c r="BN254" s="19"/>
      <c r="BO254" s="19"/>
      <c r="BP254" s="19"/>
      <c r="BQ254" s="19"/>
      <c r="BR254" s="19"/>
      <c r="BS254" s="19"/>
      <c r="BT254" s="19"/>
      <c r="BU254" s="19"/>
      <c r="BV254" s="19"/>
      <c r="BW254" s="19"/>
      <c r="BX254" s="19"/>
      <c r="CF254" s="44"/>
      <c r="CG254" s="44"/>
      <c r="CH254" s="44"/>
      <c r="CI254" s="44"/>
      <c r="CJ254" s="50"/>
      <c r="CK254" s="50"/>
    </row>
    <row r="255" spans="3:89" hidden="1" x14ac:dyDescent="0.3">
      <c r="C255" s="19"/>
      <c r="D255" s="19"/>
      <c r="E255" s="19"/>
      <c r="F255" s="19"/>
      <c r="G255" s="19"/>
      <c r="H255" s="19"/>
      <c r="I255" s="19"/>
      <c r="J255" s="19"/>
      <c r="K255" s="19"/>
      <c r="L255" s="19"/>
      <c r="M255" s="19"/>
      <c r="N255" s="19"/>
      <c r="O255" s="19"/>
      <c r="P255" s="19"/>
      <c r="Q255" s="19"/>
      <c r="R255" s="19"/>
      <c r="S255" s="19"/>
      <c r="T255" s="19"/>
      <c r="U255" s="19"/>
      <c r="V255" s="19"/>
      <c r="AD255" s="44"/>
      <c r="AE255" s="44"/>
      <c r="AF255" s="44"/>
      <c r="AG255" s="44"/>
      <c r="AH255" s="50"/>
      <c r="AI255" s="50"/>
      <c r="BD255" s="20"/>
      <c r="BE255" s="19"/>
      <c r="BF255" s="19"/>
      <c r="BG255" s="19"/>
      <c r="BH255" s="19"/>
      <c r="BI255" s="19"/>
      <c r="BJ255" s="19"/>
      <c r="BK255" s="19"/>
      <c r="BL255" s="19"/>
      <c r="BM255" s="19"/>
      <c r="BN255" s="19"/>
      <c r="BO255" s="19"/>
      <c r="BP255" s="19"/>
      <c r="BQ255" s="19"/>
      <c r="BR255" s="19"/>
      <c r="BS255" s="19"/>
      <c r="BT255" s="19"/>
      <c r="BU255" s="19"/>
      <c r="BV255" s="19"/>
      <c r="BW255" s="19"/>
      <c r="BX255" s="19"/>
      <c r="CF255" s="44"/>
      <c r="CG255" s="44"/>
      <c r="CH255" s="44"/>
      <c r="CI255" s="44"/>
      <c r="CJ255" s="50"/>
      <c r="CK255" s="50"/>
    </row>
    <row r="256" spans="3:89" hidden="1" x14ac:dyDescent="0.3">
      <c r="C256" s="19"/>
      <c r="D256" s="19"/>
      <c r="E256" s="19"/>
      <c r="F256" s="19"/>
      <c r="G256" s="19"/>
      <c r="H256" s="19"/>
      <c r="I256" s="19"/>
      <c r="J256" s="19"/>
      <c r="K256" s="19"/>
      <c r="L256" s="19"/>
      <c r="M256" s="19"/>
      <c r="N256" s="19"/>
      <c r="O256" s="19"/>
      <c r="P256" s="19"/>
      <c r="Q256" s="19"/>
      <c r="R256" s="19"/>
      <c r="S256" s="19"/>
      <c r="T256" s="19"/>
      <c r="U256" s="19"/>
      <c r="V256" s="19"/>
      <c r="AD256" s="44"/>
      <c r="AE256" s="44"/>
      <c r="AF256" s="44"/>
      <c r="AG256" s="44"/>
      <c r="AH256" s="50"/>
      <c r="AI256" s="50"/>
      <c r="BD256" s="20"/>
      <c r="BE256" s="19"/>
      <c r="BF256" s="19"/>
      <c r="BG256" s="19"/>
      <c r="BH256" s="19"/>
      <c r="BI256" s="19"/>
      <c r="BJ256" s="19"/>
      <c r="BK256" s="19"/>
      <c r="BL256" s="19"/>
      <c r="BM256" s="19"/>
      <c r="BN256" s="19"/>
      <c r="BO256" s="19"/>
      <c r="BP256" s="19"/>
      <c r="BQ256" s="19"/>
      <c r="BR256" s="19"/>
      <c r="BS256" s="19"/>
      <c r="BT256" s="19"/>
      <c r="BU256" s="19"/>
      <c r="BV256" s="19"/>
      <c r="BW256" s="19"/>
      <c r="BX256" s="19"/>
      <c r="CF256" s="44"/>
      <c r="CG256" s="44"/>
      <c r="CH256" s="44"/>
      <c r="CI256" s="44"/>
      <c r="CJ256" s="50"/>
      <c r="CK256" s="50"/>
    </row>
    <row r="257" spans="2:103" hidden="1" x14ac:dyDescent="0.3">
      <c r="C257" s="19"/>
      <c r="D257" s="19"/>
      <c r="E257" s="19"/>
      <c r="F257" s="19"/>
      <c r="G257" s="19"/>
      <c r="H257" s="19"/>
      <c r="I257" s="19"/>
      <c r="J257" s="19"/>
      <c r="K257" s="19"/>
      <c r="L257" s="19"/>
      <c r="M257" s="19"/>
      <c r="N257" s="19"/>
      <c r="O257" s="19"/>
      <c r="P257" s="19"/>
      <c r="Q257" s="19"/>
      <c r="R257" s="19"/>
      <c r="S257" s="19"/>
      <c r="T257" s="19"/>
      <c r="U257" s="19"/>
      <c r="V257" s="19"/>
      <c r="AD257" s="44"/>
      <c r="AE257" s="44"/>
      <c r="AF257" s="44"/>
      <c r="AG257" s="44"/>
      <c r="AH257" s="50"/>
      <c r="AI257" s="50"/>
      <c r="BD257" s="20"/>
      <c r="BE257" s="19"/>
      <c r="BF257" s="19"/>
      <c r="BG257" s="19"/>
      <c r="BH257" s="19"/>
      <c r="BI257" s="19"/>
      <c r="BJ257" s="19"/>
      <c r="BK257" s="19"/>
      <c r="BL257" s="19"/>
      <c r="BM257" s="19"/>
      <c r="BN257" s="19"/>
      <c r="BO257" s="19"/>
      <c r="BP257" s="19"/>
      <c r="BQ257" s="19"/>
      <c r="BR257" s="19"/>
      <c r="BS257" s="19"/>
      <c r="BT257" s="19"/>
      <c r="BU257" s="19"/>
      <c r="BV257" s="19"/>
      <c r="BW257" s="19"/>
      <c r="BX257" s="19"/>
      <c r="CF257" s="44"/>
      <c r="CG257" s="44"/>
      <c r="CH257" s="44"/>
      <c r="CI257" s="44"/>
      <c r="CJ257" s="50"/>
      <c r="CK257" s="50"/>
    </row>
    <row r="258" spans="2:103" hidden="1" x14ac:dyDescent="0.3">
      <c r="C258" s="19"/>
      <c r="D258" s="19"/>
      <c r="E258" s="19"/>
      <c r="F258" s="19"/>
      <c r="G258" s="19"/>
      <c r="H258" s="19"/>
      <c r="I258" s="19"/>
      <c r="J258" s="19"/>
      <c r="K258" s="19"/>
      <c r="L258" s="19"/>
      <c r="M258" s="19"/>
      <c r="N258" s="19"/>
      <c r="O258" s="19"/>
      <c r="P258" s="19"/>
      <c r="Q258" s="19"/>
      <c r="R258" s="19"/>
      <c r="S258" s="19"/>
      <c r="T258" s="19"/>
      <c r="U258" s="19"/>
      <c r="V258" s="19"/>
      <c r="AD258" s="44"/>
      <c r="AE258" s="44"/>
      <c r="AF258" s="44"/>
      <c r="AG258" s="44"/>
      <c r="AH258" s="50"/>
      <c r="AI258" s="50"/>
      <c r="BD258" s="20"/>
      <c r="BE258" s="19"/>
      <c r="BF258" s="19"/>
      <c r="BG258" s="19"/>
      <c r="BH258" s="19"/>
      <c r="BI258" s="19"/>
      <c r="BJ258" s="19"/>
      <c r="BK258" s="19"/>
      <c r="BL258" s="19"/>
      <c r="BM258" s="19"/>
      <c r="BN258" s="19"/>
      <c r="BO258" s="19"/>
      <c r="BP258" s="19"/>
      <c r="BQ258" s="19"/>
      <c r="BR258" s="19"/>
      <c r="BS258" s="19"/>
      <c r="BT258" s="19"/>
      <c r="BU258" s="19"/>
      <c r="BV258" s="19"/>
      <c r="BW258" s="19"/>
      <c r="BX258" s="19"/>
      <c r="CF258" s="44"/>
      <c r="CG258" s="44"/>
      <c r="CH258" s="44"/>
      <c r="CI258" s="44"/>
      <c r="CJ258" s="50"/>
      <c r="CK258" s="50"/>
    </row>
    <row r="259" spans="2:103" hidden="1" x14ac:dyDescent="0.3">
      <c r="C259" s="19"/>
      <c r="D259" s="19"/>
      <c r="E259" s="19"/>
      <c r="F259" s="19"/>
      <c r="G259" s="19"/>
      <c r="H259" s="19"/>
      <c r="I259" s="19"/>
      <c r="J259" s="19"/>
      <c r="K259" s="19"/>
      <c r="L259" s="19"/>
      <c r="M259" s="19"/>
      <c r="N259" s="19"/>
      <c r="O259" s="19"/>
      <c r="P259" s="19"/>
      <c r="Q259" s="19"/>
      <c r="R259" s="19"/>
      <c r="S259" s="19"/>
      <c r="T259" s="19"/>
      <c r="U259" s="19"/>
      <c r="V259" s="19"/>
      <c r="AD259" s="44"/>
      <c r="AE259" s="44"/>
      <c r="AF259" s="44"/>
      <c r="AG259" s="44"/>
      <c r="AH259" s="50"/>
      <c r="AI259" s="50"/>
      <c r="BD259" s="20"/>
      <c r="BE259" s="19"/>
      <c r="BF259" s="19"/>
      <c r="BG259" s="19"/>
      <c r="BH259" s="19"/>
      <c r="BI259" s="19"/>
      <c r="BJ259" s="19"/>
      <c r="BK259" s="19"/>
      <c r="BL259" s="19"/>
      <c r="BM259" s="19"/>
      <c r="BN259" s="19"/>
      <c r="BO259" s="19"/>
      <c r="BP259" s="19"/>
      <c r="BQ259" s="19"/>
      <c r="BR259" s="19"/>
      <c r="BS259" s="19"/>
      <c r="BT259" s="19"/>
      <c r="BU259" s="19"/>
      <c r="BV259" s="19"/>
      <c r="BW259" s="19"/>
      <c r="BX259" s="19"/>
      <c r="CF259" s="44"/>
      <c r="CG259" s="44"/>
      <c r="CH259" s="44"/>
      <c r="CI259" s="44"/>
      <c r="CJ259" s="50"/>
      <c r="CK259" s="50"/>
    </row>
    <row r="260" spans="2:103" hidden="1" x14ac:dyDescent="0.3">
      <c r="C260" s="19"/>
      <c r="D260" s="19"/>
      <c r="E260" s="19"/>
      <c r="F260" s="19"/>
      <c r="G260" s="19"/>
      <c r="H260" s="19"/>
      <c r="I260" s="19"/>
      <c r="J260" s="19"/>
      <c r="K260" s="19"/>
      <c r="L260" s="19"/>
      <c r="M260" s="19"/>
      <c r="N260" s="19"/>
      <c r="O260" s="19"/>
      <c r="P260" s="19"/>
      <c r="Q260" s="19"/>
      <c r="R260" s="19"/>
      <c r="S260" s="19"/>
      <c r="T260" s="19"/>
      <c r="U260" s="19"/>
      <c r="V260" s="19"/>
      <c r="AD260" s="44"/>
      <c r="AE260" s="44"/>
      <c r="AF260" s="44"/>
      <c r="AG260" s="44"/>
      <c r="AH260" s="50"/>
      <c r="AI260" s="50"/>
      <c r="BD260" s="20"/>
      <c r="BE260" s="19"/>
      <c r="BF260" s="19"/>
      <c r="BG260" s="19"/>
      <c r="BH260" s="19"/>
      <c r="BI260" s="19"/>
      <c r="BJ260" s="19"/>
      <c r="BK260" s="19"/>
      <c r="BL260" s="19"/>
      <c r="BM260" s="19"/>
      <c r="BN260" s="19"/>
      <c r="BO260" s="19"/>
      <c r="BP260" s="19"/>
      <c r="BQ260" s="19"/>
      <c r="BR260" s="19"/>
      <c r="BS260" s="19"/>
      <c r="BT260" s="19"/>
      <c r="BU260" s="19"/>
      <c r="BV260" s="19"/>
      <c r="BW260" s="19"/>
      <c r="BX260" s="19"/>
      <c r="CF260" s="44"/>
      <c r="CG260" s="44"/>
      <c r="CH260" s="44"/>
      <c r="CI260" s="44"/>
      <c r="CJ260" s="50"/>
      <c r="CK260" s="50"/>
    </row>
    <row r="261" spans="2:103" hidden="1" x14ac:dyDescent="0.3">
      <c r="C261" s="19"/>
      <c r="D261" s="19"/>
      <c r="E261" s="19"/>
      <c r="F261" s="19"/>
      <c r="G261" s="19"/>
      <c r="H261" s="19"/>
      <c r="I261" s="19"/>
      <c r="J261" s="19"/>
      <c r="K261" s="19"/>
      <c r="L261" s="19"/>
      <c r="M261" s="19"/>
      <c r="N261" s="19"/>
      <c r="O261" s="19"/>
      <c r="P261" s="19"/>
      <c r="Q261" s="19"/>
      <c r="R261" s="19"/>
      <c r="S261" s="19"/>
      <c r="T261" s="19"/>
      <c r="U261" s="19"/>
      <c r="V261" s="19"/>
      <c r="AD261" s="44"/>
      <c r="AE261" s="44"/>
      <c r="AF261" s="44"/>
      <c r="AG261" s="44"/>
      <c r="AH261" s="50"/>
      <c r="AI261" s="50"/>
      <c r="BD261" s="20"/>
      <c r="BE261" s="19"/>
      <c r="BF261" s="19"/>
      <c r="BG261" s="19"/>
      <c r="BH261" s="19"/>
      <c r="BI261" s="19"/>
      <c r="BJ261" s="19"/>
      <c r="BK261" s="19"/>
      <c r="BL261" s="19"/>
      <c r="BM261" s="19"/>
      <c r="BN261" s="19"/>
      <c r="BO261" s="19"/>
      <c r="BP261" s="19"/>
      <c r="BQ261" s="19"/>
      <c r="BR261" s="19"/>
      <c r="BS261" s="19"/>
      <c r="BT261" s="19"/>
      <c r="BU261" s="19"/>
      <c r="BV261" s="19"/>
      <c r="BW261" s="19"/>
      <c r="BX261" s="19"/>
      <c r="CF261" s="44"/>
      <c r="CG261" s="44"/>
      <c r="CH261" s="44"/>
      <c r="CI261" s="44"/>
      <c r="CJ261" s="50"/>
      <c r="CK261" s="50"/>
    </row>
    <row r="262" spans="2:103" hidden="1" x14ac:dyDescent="0.3">
      <c r="C262" s="19"/>
      <c r="D262" s="19"/>
      <c r="E262" s="19"/>
      <c r="F262" s="19"/>
      <c r="G262" s="19"/>
      <c r="H262" s="19"/>
      <c r="I262" s="19"/>
      <c r="J262" s="19"/>
      <c r="K262" s="19"/>
      <c r="L262" s="19"/>
      <c r="M262" s="19"/>
      <c r="N262" s="19"/>
      <c r="O262" s="19"/>
      <c r="P262" s="19"/>
      <c r="Q262" s="19"/>
      <c r="R262" s="19"/>
      <c r="S262" s="19"/>
      <c r="T262" s="19"/>
      <c r="U262" s="19"/>
      <c r="V262" s="19"/>
      <c r="AD262" s="44"/>
      <c r="AE262" s="44"/>
      <c r="AF262" s="44"/>
      <c r="AG262" s="44"/>
      <c r="AH262" s="50"/>
      <c r="AI262" s="50"/>
      <c r="BD262" s="20"/>
      <c r="BE262" s="19"/>
      <c r="BF262" s="19"/>
      <c r="BG262" s="19"/>
      <c r="BH262" s="19"/>
      <c r="BI262" s="19"/>
      <c r="BJ262" s="19"/>
      <c r="BK262" s="19"/>
      <c r="BL262" s="19"/>
      <c r="BM262" s="19"/>
      <c r="BN262" s="19"/>
      <c r="BO262" s="19"/>
      <c r="BP262" s="19"/>
      <c r="BQ262" s="19"/>
      <c r="BR262" s="19"/>
      <c r="BS262" s="19"/>
      <c r="BT262" s="19"/>
      <c r="BU262" s="19"/>
      <c r="BV262" s="19"/>
      <c r="BW262" s="19"/>
      <c r="BX262" s="19"/>
      <c r="CF262" s="44"/>
      <c r="CG262" s="44"/>
      <c r="CH262" s="44"/>
      <c r="CI262" s="44"/>
      <c r="CJ262" s="50"/>
      <c r="CK262" s="50"/>
    </row>
    <row r="263" spans="2:103" hidden="1" x14ac:dyDescent="0.3">
      <c r="C263" s="19"/>
      <c r="D263" s="19"/>
      <c r="E263" s="19"/>
      <c r="F263" s="19"/>
      <c r="G263" s="19"/>
      <c r="H263" s="19"/>
      <c r="I263" s="19"/>
      <c r="J263" s="19"/>
      <c r="K263" s="19"/>
      <c r="L263" s="19"/>
      <c r="M263" s="19"/>
      <c r="N263" s="19"/>
      <c r="O263" s="19"/>
      <c r="P263" s="19"/>
      <c r="Q263" s="19"/>
      <c r="R263" s="19"/>
      <c r="S263" s="19"/>
      <c r="T263" s="19"/>
      <c r="U263" s="19"/>
      <c r="V263" s="19"/>
      <c r="AD263" s="44"/>
      <c r="AE263" s="44"/>
      <c r="AF263" s="44"/>
      <c r="AG263" s="44"/>
      <c r="AH263" s="50"/>
      <c r="AI263" s="50"/>
      <c r="BD263" s="20"/>
      <c r="BE263" s="19"/>
      <c r="BF263" s="19"/>
      <c r="BG263" s="19"/>
      <c r="BH263" s="19"/>
      <c r="BI263" s="19"/>
      <c r="BJ263" s="19"/>
      <c r="BK263" s="19"/>
      <c r="BL263" s="19"/>
      <c r="BM263" s="19"/>
      <c r="BN263" s="19"/>
      <c r="BO263" s="19"/>
      <c r="BP263" s="19"/>
      <c r="BQ263" s="19"/>
      <c r="BR263" s="19"/>
      <c r="BS263" s="19"/>
      <c r="BT263" s="19"/>
      <c r="BU263" s="19"/>
      <c r="BV263" s="19"/>
      <c r="BW263" s="19"/>
      <c r="BX263" s="19"/>
      <c r="CF263" s="44"/>
      <c r="CG263" s="44"/>
      <c r="CH263" s="44"/>
      <c r="CI263" s="44"/>
      <c r="CJ263" s="50"/>
      <c r="CK263" s="50"/>
    </row>
    <row r="264" spans="2:103" hidden="1" x14ac:dyDescent="0.3">
      <c r="BD264" s="20"/>
    </row>
    <row r="265" spans="2:103" ht="5.25" hidden="1" customHeight="1" x14ac:dyDescent="0.3">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66"/>
      <c r="AW265" s="66"/>
      <c r="AX265" s="20"/>
      <c r="AY265" s="20"/>
      <c r="AZ265" s="20"/>
      <c r="BA265" s="20"/>
      <c r="BB265" s="20"/>
      <c r="BC265" s="20"/>
      <c r="BD265" s="20"/>
      <c r="CX265" s="34"/>
      <c r="CY265" s="34"/>
    </row>
    <row r="266" spans="2:103" hidden="1" x14ac:dyDescent="0.3"/>
    <row r="267" spans="2:103" hidden="1" x14ac:dyDescent="0.3">
      <c r="C267" s="33" t="s">
        <v>148</v>
      </c>
      <c r="D267" s="33"/>
      <c r="E267" s="33"/>
      <c r="F267" s="33"/>
      <c r="G267" s="33"/>
      <c r="H267" s="33"/>
      <c r="I267" s="33"/>
      <c r="J267" s="33"/>
      <c r="K267" s="33"/>
      <c r="L267" s="33"/>
      <c r="M267" s="33"/>
      <c r="N267" s="33"/>
      <c r="O267" s="33"/>
      <c r="U267" s="31" t="s">
        <v>149</v>
      </c>
      <c r="V267" s="32"/>
      <c r="W267" s="32"/>
      <c r="X267" s="32"/>
      <c r="Y267" s="32"/>
      <c r="Z267" s="32"/>
      <c r="AA267" s="32"/>
      <c r="AB267" s="32"/>
      <c r="AC267" s="31" t="s">
        <v>150</v>
      </c>
      <c r="AD267" s="32"/>
      <c r="AE267" s="32"/>
      <c r="AF267" s="32"/>
      <c r="AG267" s="33"/>
      <c r="AH267" s="33"/>
      <c r="AI267" s="35"/>
      <c r="AJ267" s="33"/>
      <c r="AK267" s="33"/>
      <c r="BE267" s="33"/>
      <c r="BF267" s="33"/>
      <c r="BG267" s="33"/>
      <c r="BH267" s="33"/>
      <c r="BI267" s="33"/>
      <c r="BJ267" s="33"/>
      <c r="BK267" s="33"/>
      <c r="BL267" s="33"/>
      <c r="BM267" s="33"/>
      <c r="BN267" s="33"/>
      <c r="BO267" s="33"/>
      <c r="BP267" s="33"/>
      <c r="BQ267" s="33"/>
      <c r="BW267" s="35"/>
      <c r="BX267" s="33"/>
      <c r="BY267" s="33"/>
      <c r="BZ267" s="33"/>
      <c r="CA267" s="33"/>
      <c r="CB267" s="33"/>
      <c r="CC267" s="33"/>
      <c r="CD267" s="33"/>
      <c r="CE267" s="35"/>
      <c r="CF267" s="33"/>
      <c r="CG267" s="33"/>
      <c r="CH267" s="33"/>
      <c r="CI267" s="33"/>
      <c r="CJ267" s="33"/>
      <c r="CK267" s="35"/>
      <c r="CL267" s="33"/>
      <c r="CM267" s="33"/>
    </row>
    <row r="268" spans="2:103" hidden="1" x14ac:dyDescent="0.3">
      <c r="C268" s="33"/>
      <c r="D268" s="33"/>
      <c r="E268" s="33"/>
      <c r="F268" s="33"/>
      <c r="G268" s="33"/>
      <c r="H268" s="33"/>
      <c r="I268" s="33"/>
      <c r="J268" s="33"/>
      <c r="K268" s="33"/>
      <c r="L268" s="33"/>
      <c r="M268" s="33"/>
      <c r="N268" s="33"/>
      <c r="O268" s="33"/>
      <c r="U268" s="33"/>
      <c r="V268" s="33"/>
      <c r="W268" s="33"/>
      <c r="X268" s="33"/>
      <c r="Y268" s="33"/>
      <c r="Z268" s="33"/>
      <c r="AA268" s="33"/>
      <c r="AB268" s="33"/>
      <c r="AC268" s="33"/>
      <c r="AD268" s="33"/>
      <c r="AE268" s="33"/>
      <c r="AF268" s="33"/>
      <c r="AG268" s="33"/>
      <c r="AH268" s="33"/>
      <c r="AI268" s="33"/>
      <c r="AJ268" s="33"/>
      <c r="AK268" s="33"/>
      <c r="BE268" s="33"/>
      <c r="BF268" s="33"/>
      <c r="BG268" s="33"/>
      <c r="BH268" s="33"/>
      <c r="BI268" s="33"/>
      <c r="BJ268" s="33"/>
      <c r="BK268" s="33"/>
      <c r="BL268" s="33"/>
      <c r="BM268" s="33"/>
      <c r="BN268" s="33"/>
      <c r="BO268" s="33"/>
      <c r="BP268" s="33"/>
      <c r="BQ268" s="33"/>
      <c r="BW268" s="33"/>
      <c r="BX268" s="33"/>
      <c r="BY268" s="33"/>
      <c r="BZ268" s="33"/>
      <c r="CA268" s="33"/>
      <c r="CB268" s="33"/>
      <c r="CC268" s="33"/>
      <c r="CD268" s="33"/>
      <c r="CE268" s="33"/>
      <c r="CF268" s="33"/>
      <c r="CG268" s="33"/>
      <c r="CH268" s="33"/>
      <c r="CI268" s="33"/>
      <c r="CJ268" s="33"/>
      <c r="CK268" s="33"/>
      <c r="CL268" s="33"/>
      <c r="CM268" s="33"/>
    </row>
    <row r="269" spans="2:103" hidden="1" x14ac:dyDescent="0.3">
      <c r="C269" s="33" t="s">
        <v>151</v>
      </c>
      <c r="D269" s="33"/>
      <c r="E269" s="33"/>
      <c r="F269" s="33"/>
      <c r="G269" s="33"/>
      <c r="H269" s="33"/>
      <c r="I269" s="634">
        <f>StartDate</f>
        <v>0</v>
      </c>
      <c r="J269" s="634"/>
      <c r="K269" s="634"/>
      <c r="L269" s="634"/>
      <c r="M269" s="634"/>
      <c r="N269" s="634"/>
      <c r="O269" s="634"/>
      <c r="U269" s="35" t="s">
        <v>85</v>
      </c>
      <c r="V269" s="33"/>
      <c r="W269" s="33"/>
      <c r="X269" s="33"/>
      <c r="Y269" s="33"/>
      <c r="Z269" s="33"/>
      <c r="AA269" s="33"/>
      <c r="AB269" s="33"/>
      <c r="AC269" s="645">
        <v>24.42</v>
      </c>
      <c r="AD269" s="645"/>
      <c r="AE269" s="645"/>
      <c r="AF269" s="33"/>
      <c r="AG269" s="33"/>
      <c r="AH269" s="33"/>
      <c r="AI269" s="35"/>
      <c r="AJ269" s="35"/>
      <c r="AK269" s="35"/>
      <c r="BE269" s="33"/>
      <c r="BF269" s="33"/>
      <c r="BG269" s="33"/>
      <c r="BH269" s="33"/>
      <c r="BI269" s="33"/>
      <c r="BJ269" s="33"/>
      <c r="BK269" s="97"/>
      <c r="BL269" s="97"/>
      <c r="BM269" s="97"/>
      <c r="BN269" s="97"/>
      <c r="BO269" s="97"/>
      <c r="BP269" s="97"/>
      <c r="BQ269" s="97"/>
      <c r="BW269" s="35"/>
      <c r="BX269" s="33"/>
      <c r="BY269" s="33"/>
      <c r="BZ269" s="33"/>
      <c r="CA269" s="33"/>
      <c r="CB269" s="33"/>
      <c r="CC269" s="33"/>
      <c r="CD269" s="33"/>
      <c r="CE269" s="35"/>
      <c r="CF269" s="35"/>
      <c r="CG269" s="35"/>
      <c r="CH269" s="33"/>
      <c r="CI269" s="33"/>
      <c r="CJ269" s="33"/>
      <c r="CK269" s="35"/>
      <c r="CL269" s="35"/>
      <c r="CM269" s="35"/>
    </row>
    <row r="270" spans="2:103" hidden="1" x14ac:dyDescent="0.3">
      <c r="C270" s="32" t="s">
        <v>152</v>
      </c>
      <c r="D270" s="32"/>
      <c r="E270" s="32"/>
      <c r="F270" s="32"/>
      <c r="G270" s="32"/>
      <c r="H270" s="32"/>
      <c r="I270" s="626">
        <f>EDATE(I269,12)-1</f>
        <v>365</v>
      </c>
      <c r="J270" s="626"/>
      <c r="K270" s="626"/>
      <c r="L270" s="626"/>
      <c r="M270" s="626"/>
      <c r="N270" s="626"/>
      <c r="O270" s="626"/>
      <c r="U270" s="35"/>
      <c r="V270" s="33"/>
      <c r="W270" s="33"/>
      <c r="X270" s="33"/>
      <c r="Y270" s="33"/>
      <c r="Z270" s="33"/>
      <c r="AA270" s="33"/>
      <c r="AB270" s="33"/>
      <c r="AC270" s="645"/>
      <c r="AD270" s="645"/>
      <c r="AE270" s="645"/>
      <c r="AF270" s="33"/>
      <c r="AG270" s="33"/>
      <c r="AH270" s="33"/>
      <c r="AI270" s="35"/>
      <c r="AJ270" s="35"/>
      <c r="AK270" s="35"/>
      <c r="BE270" s="33"/>
      <c r="BF270" s="33"/>
      <c r="BG270" s="33"/>
      <c r="BH270" s="33"/>
      <c r="BI270" s="33"/>
      <c r="BJ270" s="33"/>
      <c r="BK270" s="97"/>
      <c r="BL270" s="97"/>
      <c r="BM270" s="97"/>
      <c r="BN270" s="97"/>
      <c r="BO270" s="97"/>
      <c r="BP270" s="97"/>
      <c r="BQ270" s="97"/>
      <c r="BW270" s="35"/>
      <c r="BX270" s="33"/>
      <c r="BY270" s="33"/>
      <c r="BZ270" s="33"/>
      <c r="CA270" s="33"/>
      <c r="CB270" s="33"/>
      <c r="CC270" s="33"/>
      <c r="CD270" s="33"/>
      <c r="CE270" s="35"/>
      <c r="CF270" s="35"/>
      <c r="CG270" s="35"/>
      <c r="CH270" s="33"/>
      <c r="CI270" s="33"/>
      <c r="CJ270" s="33"/>
      <c r="CK270" s="35"/>
      <c r="CL270" s="35"/>
      <c r="CM270" s="35"/>
    </row>
    <row r="271" spans="2:103" hidden="1" x14ac:dyDescent="0.3">
      <c r="C271" s="33" t="s">
        <v>153</v>
      </c>
      <c r="D271" s="33"/>
      <c r="E271" s="33"/>
      <c r="F271" s="33"/>
      <c r="G271" s="33"/>
      <c r="H271" s="33"/>
      <c r="I271" s="634">
        <f>I270+1</f>
        <v>366</v>
      </c>
      <c r="J271" s="634"/>
      <c r="K271" s="634"/>
      <c r="L271" s="634"/>
      <c r="M271" s="634"/>
      <c r="N271" s="634"/>
      <c r="O271" s="634"/>
      <c r="U271" s="35" t="s">
        <v>154</v>
      </c>
      <c r="V271" s="33"/>
      <c r="W271" s="33"/>
      <c r="X271" s="33"/>
      <c r="Y271" s="33"/>
      <c r="Z271" s="33"/>
      <c r="AA271" s="37"/>
      <c r="AB271" s="79"/>
      <c r="AC271" s="645">
        <v>10</v>
      </c>
      <c r="AD271" s="645"/>
      <c r="AE271" s="645"/>
      <c r="AF271" s="33"/>
      <c r="AG271" s="33"/>
      <c r="AH271" s="33"/>
      <c r="AI271" s="35"/>
      <c r="AJ271" s="35"/>
      <c r="AK271" s="35"/>
      <c r="BE271" s="33"/>
      <c r="BF271" s="33"/>
      <c r="BG271" s="33"/>
      <c r="BH271" s="33"/>
      <c r="BI271" s="33"/>
      <c r="BJ271" s="33"/>
      <c r="BK271" s="97"/>
      <c r="BL271" s="97"/>
      <c r="BM271" s="97"/>
      <c r="BN271" s="97"/>
      <c r="BO271" s="97"/>
      <c r="BP271" s="97"/>
      <c r="BQ271" s="97"/>
      <c r="BW271" s="35"/>
      <c r="BX271" s="33"/>
      <c r="BY271" s="33"/>
      <c r="BZ271" s="33"/>
      <c r="CA271" s="33"/>
      <c r="CB271" s="33"/>
      <c r="CC271" s="37"/>
      <c r="CD271" s="79"/>
      <c r="CE271" s="35"/>
      <c r="CF271" s="35"/>
      <c r="CG271" s="35"/>
      <c r="CH271" s="33"/>
      <c r="CI271" s="33"/>
      <c r="CJ271" s="33"/>
      <c r="CK271" s="35"/>
      <c r="CL271" s="35"/>
      <c r="CM271" s="35"/>
    </row>
    <row r="272" spans="2:103" hidden="1" x14ac:dyDescent="0.3">
      <c r="C272" s="32" t="s">
        <v>155</v>
      </c>
      <c r="D272" s="32"/>
      <c r="E272" s="32"/>
      <c r="F272" s="32"/>
      <c r="G272" s="32"/>
      <c r="H272" s="32"/>
      <c r="I272" s="626">
        <f>EDATE(I271,12)-1</f>
        <v>730</v>
      </c>
      <c r="J272" s="626"/>
      <c r="K272" s="626"/>
      <c r="L272" s="626"/>
      <c r="M272" s="626"/>
      <c r="N272" s="626"/>
      <c r="O272" s="626"/>
      <c r="U272" s="647" t="s">
        <v>156</v>
      </c>
      <c r="V272" s="647"/>
      <c r="W272" s="647"/>
      <c r="X272" s="647"/>
      <c r="Y272" s="647"/>
      <c r="Z272" s="647"/>
      <c r="AA272" s="647"/>
      <c r="AB272" s="33"/>
      <c r="AC272" s="646">
        <v>173.33</v>
      </c>
      <c r="AD272" s="646"/>
      <c r="AE272" s="646"/>
      <c r="AF272" s="33"/>
      <c r="AG272" s="33"/>
      <c r="AH272" s="33"/>
      <c r="AI272" s="33"/>
      <c r="AJ272" s="33"/>
      <c r="AK272" s="33"/>
      <c r="BE272" s="33"/>
      <c r="BF272" s="33"/>
      <c r="BG272" s="33"/>
      <c r="BH272" s="33"/>
      <c r="BI272" s="33"/>
      <c r="BJ272" s="33"/>
      <c r="BK272" s="97"/>
      <c r="BL272" s="97"/>
      <c r="BM272" s="97"/>
      <c r="BN272" s="97"/>
      <c r="BO272" s="97"/>
      <c r="BP272" s="97"/>
      <c r="BQ272" s="97"/>
      <c r="BW272" s="33"/>
      <c r="BX272" s="33"/>
      <c r="BY272" s="33"/>
      <c r="BZ272" s="33"/>
      <c r="CA272" s="33"/>
      <c r="CB272" s="33"/>
      <c r="CC272" s="33"/>
      <c r="CD272" s="33"/>
      <c r="CE272" s="33"/>
      <c r="CF272" s="33"/>
      <c r="CG272" s="33"/>
      <c r="CH272" s="33"/>
      <c r="CI272" s="33"/>
      <c r="CJ272" s="33"/>
      <c r="CK272" s="33"/>
      <c r="CL272" s="33"/>
      <c r="CM272" s="33"/>
    </row>
    <row r="273" spans="3:80" hidden="1" x14ac:dyDescent="0.3">
      <c r="C273" s="33" t="s">
        <v>157</v>
      </c>
      <c r="D273" s="33"/>
      <c r="E273" s="33"/>
      <c r="F273" s="33"/>
      <c r="G273" s="33"/>
      <c r="H273" s="33"/>
      <c r="I273" s="634">
        <f>I272+1</f>
        <v>731</v>
      </c>
      <c r="J273" s="634"/>
      <c r="K273" s="634"/>
      <c r="L273" s="634"/>
      <c r="M273" s="634"/>
      <c r="N273" s="634"/>
      <c r="O273" s="634"/>
      <c r="BE273" s="33"/>
      <c r="BF273" s="33"/>
      <c r="BG273" s="33"/>
      <c r="BH273" s="33"/>
      <c r="BI273" s="33"/>
      <c r="BJ273" s="33"/>
      <c r="BK273" s="97"/>
      <c r="BL273" s="97"/>
      <c r="BM273" s="97"/>
      <c r="BN273" s="97"/>
      <c r="BO273" s="97"/>
      <c r="BP273" s="97"/>
      <c r="BQ273" s="97"/>
    </row>
    <row r="274" spans="3:80" hidden="1" x14ac:dyDescent="0.3">
      <c r="C274" s="32" t="s">
        <v>158</v>
      </c>
      <c r="D274" s="32"/>
      <c r="E274" s="32"/>
      <c r="F274" s="32"/>
      <c r="G274" s="32"/>
      <c r="H274" s="32"/>
      <c r="I274" s="626">
        <f>EDATE(I273,12)-1</f>
        <v>1095</v>
      </c>
      <c r="J274" s="626"/>
      <c r="K274" s="626"/>
      <c r="L274" s="626"/>
      <c r="M274" s="626"/>
      <c r="N274" s="626"/>
      <c r="O274" s="626"/>
      <c r="BE274" s="33"/>
      <c r="BF274" s="33"/>
      <c r="BG274" s="33"/>
      <c r="BH274" s="33"/>
      <c r="BI274" s="33"/>
      <c r="BJ274" s="33"/>
      <c r="BK274" s="97"/>
      <c r="BL274" s="97"/>
      <c r="BM274" s="97"/>
      <c r="BN274" s="97"/>
      <c r="BO274" s="97"/>
      <c r="BP274" s="97"/>
      <c r="BQ274" s="97"/>
    </row>
    <row r="275" spans="3:80" hidden="1" x14ac:dyDescent="0.3">
      <c r="C275" s="33" t="s">
        <v>159</v>
      </c>
      <c r="D275" s="33"/>
      <c r="E275" s="33"/>
      <c r="F275" s="33"/>
      <c r="G275" s="33"/>
      <c r="H275" s="33"/>
      <c r="I275" s="634">
        <f>I274+1</f>
        <v>1096</v>
      </c>
      <c r="J275" s="634"/>
      <c r="K275" s="634"/>
      <c r="L275" s="634"/>
      <c r="M275" s="634"/>
      <c r="N275" s="634"/>
      <c r="O275" s="634"/>
      <c r="BE275" s="33"/>
      <c r="BF275" s="33"/>
      <c r="BG275" s="33"/>
      <c r="BH275" s="33"/>
      <c r="BI275" s="33"/>
      <c r="BJ275" s="33"/>
      <c r="BK275" s="97"/>
      <c r="BL275" s="97"/>
      <c r="BM275" s="97"/>
      <c r="BN275" s="97"/>
      <c r="BO275" s="97"/>
      <c r="BP275" s="97"/>
      <c r="BQ275" s="97"/>
    </row>
    <row r="276" spans="3:80" hidden="1" x14ac:dyDescent="0.3">
      <c r="C276" s="32" t="s">
        <v>160</v>
      </c>
      <c r="D276" s="32"/>
      <c r="E276" s="32"/>
      <c r="F276" s="32"/>
      <c r="G276" s="32"/>
      <c r="H276" s="32"/>
      <c r="I276" s="626">
        <f>EDATE(I275,12)-1</f>
        <v>1460</v>
      </c>
      <c r="J276" s="626"/>
      <c r="K276" s="626"/>
      <c r="L276" s="626"/>
      <c r="M276" s="626"/>
      <c r="N276" s="626"/>
      <c r="O276" s="626"/>
      <c r="BE276" s="33"/>
      <c r="BF276" s="33"/>
      <c r="BG276" s="33"/>
      <c r="BH276" s="33"/>
      <c r="BI276" s="33"/>
      <c r="BJ276" s="33"/>
      <c r="BK276" s="97"/>
      <c r="BL276" s="97"/>
      <c r="BM276" s="97"/>
      <c r="BN276" s="97"/>
      <c r="BO276" s="97"/>
      <c r="BP276" s="97"/>
      <c r="BQ276" s="97"/>
    </row>
    <row r="277" spans="3:80" hidden="1" x14ac:dyDescent="0.3">
      <c r="C277" s="33" t="s">
        <v>161</v>
      </c>
      <c r="D277" s="33"/>
      <c r="E277" s="33"/>
      <c r="F277" s="33"/>
      <c r="G277" s="33"/>
      <c r="H277" s="33"/>
      <c r="I277" s="634">
        <f>I276+1</f>
        <v>1461</v>
      </c>
      <c r="J277" s="634"/>
      <c r="K277" s="634"/>
      <c r="L277" s="634"/>
      <c r="M277" s="634"/>
      <c r="N277" s="634"/>
      <c r="O277" s="634"/>
      <c r="BE277" s="33"/>
      <c r="BF277" s="33"/>
      <c r="BG277" s="33"/>
      <c r="BH277" s="33"/>
      <c r="BI277" s="33"/>
      <c r="BJ277" s="33"/>
      <c r="BK277" s="97"/>
      <c r="BL277" s="97"/>
      <c r="BM277" s="97"/>
      <c r="BN277" s="97"/>
      <c r="BO277" s="97"/>
      <c r="BP277" s="97"/>
      <c r="BQ277" s="97"/>
    </row>
    <row r="278" spans="3:80" hidden="1" x14ac:dyDescent="0.3">
      <c r="C278" s="33" t="s">
        <v>162</v>
      </c>
      <c r="D278" s="33"/>
      <c r="E278" s="33"/>
      <c r="F278" s="33"/>
      <c r="G278" s="33"/>
      <c r="H278" s="33"/>
      <c r="I278" s="634">
        <f>EDATE(I277,12)-1</f>
        <v>1826</v>
      </c>
      <c r="J278" s="634"/>
      <c r="K278" s="634"/>
      <c r="L278" s="634"/>
      <c r="M278" s="634"/>
      <c r="N278" s="634"/>
      <c r="O278" s="634"/>
      <c r="BE278" s="33"/>
      <c r="BF278" s="33"/>
      <c r="BG278" s="33"/>
      <c r="BH278" s="33"/>
      <c r="BI278" s="33"/>
      <c r="BJ278" s="33"/>
      <c r="BK278" s="97"/>
      <c r="BL278" s="97"/>
      <c r="BM278" s="97"/>
      <c r="BN278" s="97"/>
      <c r="BO278" s="97"/>
      <c r="BP278" s="97"/>
      <c r="BQ278" s="97"/>
    </row>
    <row r="279" spans="3:80" hidden="1" x14ac:dyDescent="0.3"/>
    <row r="280" spans="3:80" hidden="1" x14ac:dyDescent="0.3">
      <c r="C280" s="640" t="s">
        <v>163</v>
      </c>
      <c r="D280" s="640"/>
      <c r="E280" s="640"/>
      <c r="F280" s="640"/>
      <c r="G280" s="640"/>
      <c r="H280" s="68"/>
      <c r="I280" s="644">
        <v>3</v>
      </c>
      <c r="J280" s="644"/>
      <c r="K280" s="644"/>
      <c r="L280" s="19"/>
      <c r="M280" s="45"/>
      <c r="N280" s="45"/>
      <c r="O280" s="45"/>
      <c r="P280" s="45"/>
      <c r="Q280" s="45"/>
      <c r="R280" s="45"/>
      <c r="S280" s="45"/>
      <c r="T280" s="45"/>
      <c r="U280" s="45"/>
      <c r="V280" s="45"/>
      <c r="W280" s="45"/>
      <c r="X280" s="45"/>
      <c r="Y280" s="45"/>
      <c r="Z280" s="19"/>
      <c r="BE280" s="87"/>
      <c r="BF280" s="87"/>
      <c r="BG280" s="87"/>
      <c r="BH280" s="87"/>
      <c r="BI280" s="87"/>
      <c r="BJ280" s="68"/>
      <c r="BK280" s="68"/>
      <c r="BL280" s="68"/>
      <c r="BM280" s="68"/>
      <c r="BN280" s="19"/>
      <c r="BO280" s="45"/>
      <c r="BP280" s="45"/>
      <c r="BQ280" s="45"/>
      <c r="BR280" s="45"/>
      <c r="BS280" s="45"/>
      <c r="BT280" s="45"/>
      <c r="BU280" s="45"/>
      <c r="BV280" s="45"/>
      <c r="BW280" s="45"/>
      <c r="BX280" s="45"/>
      <c r="BY280" s="45"/>
      <c r="BZ280" s="45"/>
      <c r="CA280" s="45"/>
      <c r="CB280" s="19"/>
    </row>
    <row r="281" spans="3:80" hidden="1" x14ac:dyDescent="0.3">
      <c r="C281" s="640" t="s">
        <v>164</v>
      </c>
      <c r="D281" s="640"/>
      <c r="E281" s="640"/>
      <c r="F281" s="640"/>
      <c r="G281" s="640"/>
      <c r="H281" s="69"/>
      <c r="I281" s="643">
        <v>0</v>
      </c>
      <c r="J281" s="643"/>
      <c r="K281" s="643"/>
      <c r="L281" s="19"/>
      <c r="M281" s="67"/>
      <c r="N281" s="67"/>
      <c r="O281" s="67"/>
      <c r="P281" s="67"/>
      <c r="Q281" s="67"/>
      <c r="R281" s="19"/>
      <c r="S281" s="47"/>
      <c r="T281" s="19"/>
      <c r="U281" s="19"/>
      <c r="V281" s="19"/>
      <c r="W281" s="19"/>
      <c r="X281" s="19"/>
      <c r="Y281" s="19"/>
      <c r="Z281" s="19"/>
      <c r="BE281" s="87"/>
      <c r="BF281" s="87"/>
      <c r="BG281" s="87"/>
      <c r="BH281" s="87"/>
      <c r="BI281" s="87"/>
      <c r="BJ281" s="69"/>
      <c r="BK281" s="69"/>
      <c r="BL281" s="69"/>
      <c r="BM281" s="69"/>
      <c r="BN281" s="19"/>
      <c r="BO281" s="67"/>
      <c r="BP281" s="67"/>
      <c r="BQ281" s="67"/>
      <c r="BR281" s="67"/>
      <c r="BS281" s="67"/>
      <c r="BT281" s="19"/>
      <c r="BU281" s="47"/>
      <c r="BV281" s="19"/>
      <c r="BW281" s="19"/>
      <c r="BX281" s="19"/>
      <c r="BY281" s="19"/>
      <c r="BZ281" s="19"/>
      <c r="CA281" s="19"/>
      <c r="CB281" s="19"/>
    </row>
    <row r="282" spans="3:80" hidden="1" x14ac:dyDescent="0.3">
      <c r="C282" s="641" t="s">
        <v>165</v>
      </c>
      <c r="D282" s="641"/>
      <c r="E282" s="641"/>
      <c r="F282" s="641"/>
      <c r="G282" s="641"/>
      <c r="H282" s="70"/>
      <c r="I282" s="642">
        <v>462.1</v>
      </c>
      <c r="J282" s="642"/>
      <c r="K282" s="642"/>
      <c r="L282" s="71"/>
      <c r="M282" s="71" t="s">
        <v>166</v>
      </c>
      <c r="N282" s="71"/>
      <c r="O282" s="71"/>
      <c r="P282" s="71"/>
      <c r="Q282" s="71"/>
      <c r="R282" s="71"/>
      <c r="S282" s="71"/>
      <c r="T282" s="71"/>
      <c r="U282" s="71"/>
      <c r="V282" s="71"/>
      <c r="W282" s="71"/>
      <c r="X282" s="71"/>
      <c r="Y282" s="71"/>
      <c r="Z282" s="71"/>
      <c r="BE282" s="88"/>
      <c r="BF282" s="88"/>
      <c r="BG282" s="88"/>
      <c r="BH282" s="88"/>
      <c r="BI282" s="88"/>
      <c r="BJ282" s="70"/>
      <c r="BK282" s="70"/>
      <c r="BL282" s="70"/>
      <c r="BM282" s="70"/>
      <c r="BN282" s="71"/>
      <c r="BO282" s="71"/>
      <c r="BP282" s="71"/>
      <c r="BQ282" s="71"/>
      <c r="BR282" s="71"/>
      <c r="BS282" s="71"/>
      <c r="BT282" s="71"/>
      <c r="BU282" s="71"/>
      <c r="BV282" s="71"/>
      <c r="BW282" s="71"/>
      <c r="BX282" s="71"/>
      <c r="BY282" s="71"/>
      <c r="BZ282" s="71"/>
      <c r="CA282" s="71"/>
      <c r="CB282" s="71"/>
    </row>
    <row r="283" spans="3:80" hidden="1" x14ac:dyDescent="0.3">
      <c r="C283" s="638" t="s">
        <v>167</v>
      </c>
      <c r="D283" s="638"/>
      <c r="E283" s="638"/>
      <c r="F283" s="638"/>
      <c r="G283" s="638"/>
      <c r="I283" s="639">
        <v>157.65</v>
      </c>
      <c r="J283" s="639"/>
      <c r="K283" s="639"/>
      <c r="M283" s="71" t="s">
        <v>166</v>
      </c>
      <c r="BE283" s="37"/>
      <c r="BF283" s="37"/>
      <c r="BG283" s="37"/>
      <c r="BH283" s="37"/>
      <c r="BI283" s="37"/>
      <c r="BK283" s="79"/>
      <c r="BL283" s="79"/>
      <c r="BM283" s="79"/>
    </row>
    <row r="284" spans="3:80" hidden="1" x14ac:dyDescent="0.3">
      <c r="C284" s="640" t="s">
        <v>168</v>
      </c>
      <c r="D284" s="640"/>
      <c r="E284" s="640"/>
      <c r="F284" s="640"/>
      <c r="G284" s="640"/>
      <c r="H284" s="68"/>
      <c r="I284" s="643">
        <v>0.2727</v>
      </c>
      <c r="J284" s="643"/>
      <c r="K284" s="643"/>
    </row>
    <row r="285" spans="3:80" hidden="1" x14ac:dyDescent="0.3">
      <c r="C285" s="640" t="s">
        <v>169</v>
      </c>
      <c r="D285" s="640"/>
      <c r="E285" s="640"/>
      <c r="F285" s="640"/>
      <c r="G285" s="640"/>
      <c r="H285" s="69"/>
      <c r="I285" s="643">
        <v>7.9899999999999999E-2</v>
      </c>
      <c r="J285" s="643"/>
      <c r="K285" s="643"/>
    </row>
    <row r="286" spans="3:80" hidden="1" x14ac:dyDescent="0.3">
      <c r="AI286" s="682"/>
      <c r="AJ286" s="682"/>
      <c r="AK286" s="682"/>
      <c r="AL286" s="682"/>
      <c r="AM286" s="682"/>
      <c r="AN286" s="682"/>
      <c r="AO286" s="682"/>
      <c r="AP286" s="682"/>
      <c r="AQ286" s="682"/>
    </row>
    <row r="287" spans="3:80" hidden="1" x14ac:dyDescent="0.3"/>
    <row r="288" spans="3:80" hidden="1" x14ac:dyDescent="0.3">
      <c r="C288" s="33" t="s">
        <v>170</v>
      </c>
      <c r="BE288" s="33"/>
    </row>
    <row r="289" spans="5:109" hidden="1" x14ac:dyDescent="0.3">
      <c r="E289" s="32"/>
      <c r="F289" s="32"/>
      <c r="G289" s="72" t="s">
        <v>171</v>
      </c>
      <c r="H289" s="32"/>
      <c r="I289" s="32"/>
      <c r="J289" s="32"/>
      <c r="K289" s="637" t="s">
        <v>172</v>
      </c>
      <c r="L289" s="637"/>
      <c r="M289" s="637"/>
      <c r="N289" s="32"/>
      <c r="O289" s="636" t="s">
        <v>173</v>
      </c>
      <c r="P289" s="636"/>
      <c r="Q289" s="636"/>
      <c r="R289" s="32"/>
      <c r="S289" s="636" t="s">
        <v>174</v>
      </c>
      <c r="T289" s="636"/>
      <c r="U289" s="636"/>
      <c r="V289" s="32"/>
      <c r="W289" s="623" t="s">
        <v>175</v>
      </c>
      <c r="X289" s="623"/>
      <c r="Y289" s="623"/>
      <c r="Z289" s="32"/>
      <c r="AA289" s="625" t="s">
        <v>176</v>
      </c>
      <c r="AB289" s="625"/>
      <c r="AC289" s="625"/>
      <c r="AD289" s="625"/>
      <c r="AE289" s="625"/>
      <c r="AF289" s="32"/>
      <c r="AG289" s="32"/>
      <c r="AH289" s="32"/>
      <c r="AI289" s="32"/>
      <c r="AJ289" s="32"/>
      <c r="AK289" s="32"/>
      <c r="AL289" s="32"/>
      <c r="AM289" s="32"/>
      <c r="AN289" s="32"/>
      <c r="AO289" s="32"/>
      <c r="AP289" s="32"/>
      <c r="AQ289" s="32"/>
      <c r="AR289" s="32"/>
      <c r="AS289" s="32"/>
      <c r="AT289" s="32"/>
      <c r="AU289" s="32" t="s">
        <v>177</v>
      </c>
      <c r="AV289" s="32"/>
      <c r="AW289" s="32"/>
      <c r="AX289" s="32"/>
      <c r="AY289" s="32"/>
      <c r="AZ289" s="32"/>
      <c r="BA289" s="32"/>
      <c r="BB289" s="32"/>
      <c r="BC289" s="32" t="s">
        <v>178</v>
      </c>
      <c r="BD289" s="32"/>
      <c r="BG289" s="33"/>
      <c r="BH289" s="33"/>
      <c r="BI289" s="98"/>
      <c r="BJ289" s="33"/>
      <c r="BK289" s="33" t="s">
        <v>179</v>
      </c>
      <c r="BL289" s="33"/>
      <c r="BM289" s="99"/>
      <c r="BN289" s="99"/>
      <c r="BO289" s="99"/>
      <c r="BP289" s="33"/>
      <c r="BQ289" s="33"/>
      <c r="BR289" s="33"/>
      <c r="BS289" s="33"/>
      <c r="BT289" s="33"/>
      <c r="BU289" s="33"/>
      <c r="BV289" s="33"/>
      <c r="BW289" s="33"/>
      <c r="BX289" s="33"/>
      <c r="BY289" s="100"/>
      <c r="BZ289" s="100"/>
      <c r="CA289" s="100"/>
      <c r="CB289" s="33"/>
      <c r="CC289" s="79"/>
      <c r="CD289" s="79"/>
      <c r="CE289" s="79"/>
      <c r="CF289" s="79"/>
      <c r="CG289" s="79"/>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row>
    <row r="290" spans="5:109" hidden="1" x14ac:dyDescent="0.3">
      <c r="E290" s="73" t="s">
        <v>180</v>
      </c>
      <c r="F290" s="33"/>
      <c r="G290" s="74" t="s">
        <v>181</v>
      </c>
      <c r="H290" s="33"/>
      <c r="I290" s="33"/>
      <c r="J290" s="33"/>
      <c r="K290" s="627">
        <f>YEAR(AM62)</f>
        <v>2020</v>
      </c>
      <c r="L290" s="627"/>
      <c r="M290" s="627"/>
      <c r="N290" s="75"/>
      <c r="O290" s="627">
        <f>K290+1</f>
        <v>2021</v>
      </c>
      <c r="P290" s="627"/>
      <c r="Q290" s="627"/>
      <c r="R290" s="75"/>
      <c r="S290" s="631">
        <v>2</v>
      </c>
      <c r="T290" s="631"/>
      <c r="U290" s="631"/>
      <c r="V290" s="75"/>
      <c r="W290" s="635">
        <f>TROutStart</f>
        <v>462.1</v>
      </c>
      <c r="X290" s="635"/>
      <c r="Y290" s="635"/>
      <c r="Z290" s="33"/>
      <c r="AA290" s="632">
        <f t="shared" ref="AA290:AA307" si="42">ROUNDUP(W290*S290,0)</f>
        <v>925</v>
      </c>
      <c r="AB290" s="632"/>
      <c r="AC290" s="632"/>
      <c r="AD290" s="632"/>
      <c r="AE290" s="632"/>
      <c r="AF290" s="33"/>
      <c r="AG290" s="33" t="str">
        <f t="shared" ref="AG290:AG307" si="43">G290&amp;" "&amp;K290&amp;" ~ ACAD YR "&amp;O290</f>
        <v>Summer 2020 ~ ACAD YR 2021</v>
      </c>
      <c r="AH290" s="33"/>
      <c r="AI290" s="33"/>
      <c r="AJ290" s="33"/>
      <c r="AK290" s="33"/>
      <c r="AL290" s="33"/>
      <c r="AM290" s="33"/>
      <c r="AN290" s="33"/>
      <c r="AO290" s="33"/>
      <c r="AP290" s="33"/>
      <c r="AQ290" s="33"/>
      <c r="AR290" s="33"/>
      <c r="AS290" s="33"/>
      <c r="AT290" s="33"/>
      <c r="AU290" s="633">
        <f>AM62-45</f>
        <v>43968</v>
      </c>
      <c r="AV290" s="633"/>
      <c r="AW290" s="633"/>
      <c r="AX290" s="633"/>
      <c r="AY290" s="633"/>
      <c r="AZ290" s="633"/>
      <c r="BA290" s="633"/>
      <c r="BB290" s="33">
        <f>EDATE(AU290,1)</f>
        <v>43999</v>
      </c>
      <c r="BC290" s="634">
        <f>EOMONTH(AU290,3)</f>
        <v>44074</v>
      </c>
      <c r="BD290" s="634"/>
      <c r="BE290" s="634"/>
      <c r="BF290" s="634"/>
      <c r="BG290" s="634"/>
      <c r="BH290" s="634"/>
      <c r="BI290" s="634"/>
      <c r="BJ290" s="79"/>
      <c r="BK290" s="79">
        <f t="shared" ref="BK290:BK307" si="44">IF($AM$62&gt;AU290,IF($AM$62&lt;BC290,1,0),0)</f>
        <v>1</v>
      </c>
      <c r="BL290" s="33"/>
      <c r="BM290" s="101" t="str">
        <f>IF(BK290=1,"Start","")</f>
        <v>Start</v>
      </c>
      <c r="BN290" s="101"/>
      <c r="BO290" s="101"/>
      <c r="BP290" s="75"/>
      <c r="BQ290" s="101"/>
      <c r="BR290" s="101"/>
      <c r="BS290" s="101"/>
      <c r="BT290" s="75"/>
      <c r="BU290" s="102"/>
      <c r="BV290" s="102"/>
      <c r="BW290" s="102"/>
      <c r="BX290" s="75"/>
      <c r="BY290" s="103"/>
      <c r="BZ290" s="103"/>
      <c r="CA290" s="103"/>
      <c r="CB290" s="33"/>
      <c r="CC290" s="79"/>
      <c r="CD290" s="79"/>
      <c r="CE290" s="79"/>
      <c r="CF290" s="79"/>
      <c r="CG290" s="79"/>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row>
    <row r="291" spans="5:109" hidden="1" x14ac:dyDescent="0.3">
      <c r="E291" s="73" t="s">
        <v>182</v>
      </c>
      <c r="F291" s="33"/>
      <c r="G291" s="74" t="s">
        <v>183</v>
      </c>
      <c r="H291" s="33"/>
      <c r="I291" s="33"/>
      <c r="J291" s="33"/>
      <c r="K291" s="627">
        <f>K290</f>
        <v>2020</v>
      </c>
      <c r="L291" s="628"/>
      <c r="M291" s="628"/>
      <c r="N291" s="33"/>
      <c r="O291" s="627">
        <f>O290</f>
        <v>2021</v>
      </c>
      <c r="P291" s="627"/>
      <c r="Q291" s="627"/>
      <c r="R291" s="33"/>
      <c r="S291" s="631">
        <v>9</v>
      </c>
      <c r="T291" s="631"/>
      <c r="U291" s="631"/>
      <c r="V291" s="33"/>
      <c r="W291" s="635">
        <f>TROutStart</f>
        <v>462.1</v>
      </c>
      <c r="X291" s="635"/>
      <c r="Y291" s="635"/>
      <c r="Z291" s="33"/>
      <c r="AA291" s="632">
        <f t="shared" si="42"/>
        <v>4159</v>
      </c>
      <c r="AB291" s="632"/>
      <c r="AC291" s="632"/>
      <c r="AD291" s="632"/>
      <c r="AE291" s="632"/>
      <c r="AF291" s="33"/>
      <c r="AG291" s="33" t="str">
        <f t="shared" si="43"/>
        <v>Fall 2020 ~ ACAD YR 2021</v>
      </c>
      <c r="AH291" s="33"/>
      <c r="AI291" s="33"/>
      <c r="AJ291" s="33"/>
      <c r="AK291" s="33"/>
      <c r="AL291" s="33"/>
      <c r="AM291" s="33"/>
      <c r="AN291" s="33"/>
      <c r="AO291" s="33"/>
      <c r="AP291" s="33"/>
      <c r="AQ291" s="33"/>
      <c r="AR291" s="33"/>
      <c r="AS291" s="33"/>
      <c r="AT291" s="33"/>
      <c r="AU291" s="634">
        <f t="shared" ref="AU291:AU307" si="45">BC290+1</f>
        <v>44075</v>
      </c>
      <c r="AV291" s="632"/>
      <c r="AW291" s="632"/>
      <c r="AX291" s="632"/>
      <c r="AY291" s="632"/>
      <c r="AZ291" s="632"/>
      <c r="BA291" s="632"/>
      <c r="BB291" s="33"/>
      <c r="BC291" s="634">
        <f>EOMONTH(AU291,3)</f>
        <v>44196</v>
      </c>
      <c r="BD291" s="634"/>
      <c r="BE291" s="634"/>
      <c r="BF291" s="634"/>
      <c r="BG291" s="634"/>
      <c r="BH291" s="634"/>
      <c r="BI291" s="634"/>
      <c r="BJ291" s="33"/>
      <c r="BK291" s="79">
        <f t="shared" si="44"/>
        <v>0</v>
      </c>
      <c r="BL291" s="33"/>
      <c r="BM291" s="101" t="str">
        <f t="shared" ref="BM291:BM307" si="46">IF(BK291=1,"Start","")</f>
        <v/>
      </c>
      <c r="BN291" s="99"/>
      <c r="BO291" s="99"/>
      <c r="BP291" s="33"/>
      <c r="BQ291" s="101"/>
      <c r="BR291" s="101"/>
      <c r="BS291" s="101"/>
      <c r="BT291" s="33"/>
      <c r="BU291" s="102"/>
      <c r="BV291" s="102"/>
      <c r="BW291" s="102"/>
      <c r="BX291" s="33"/>
      <c r="BY291" s="103"/>
      <c r="BZ291" s="103"/>
      <c r="CA291" s="103"/>
      <c r="CB291" s="33"/>
      <c r="CC291" s="79"/>
      <c r="CD291" s="79"/>
      <c r="CE291" s="79"/>
      <c r="CF291" s="79"/>
      <c r="CG291" s="79"/>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row>
    <row r="292" spans="5:109" hidden="1" x14ac:dyDescent="0.3">
      <c r="E292" s="76" t="s">
        <v>184</v>
      </c>
      <c r="F292" s="32"/>
      <c r="G292" s="77" t="s">
        <v>185</v>
      </c>
      <c r="H292" s="32"/>
      <c r="I292" s="32"/>
      <c r="J292" s="32"/>
      <c r="K292" s="622">
        <f>K291+1</f>
        <v>2021</v>
      </c>
      <c r="L292" s="637"/>
      <c r="M292" s="637"/>
      <c r="N292" s="32"/>
      <c r="O292" s="622">
        <f>O291</f>
        <v>2021</v>
      </c>
      <c r="P292" s="622"/>
      <c r="Q292" s="622"/>
      <c r="R292" s="32"/>
      <c r="S292" s="623">
        <v>9</v>
      </c>
      <c r="T292" s="623"/>
      <c r="U292" s="623"/>
      <c r="V292" s="32"/>
      <c r="W292" s="635">
        <f>TROutStart</f>
        <v>462.1</v>
      </c>
      <c r="X292" s="635"/>
      <c r="Y292" s="635"/>
      <c r="Z292" s="32"/>
      <c r="AA292" s="625">
        <f t="shared" si="42"/>
        <v>4159</v>
      </c>
      <c r="AB292" s="625"/>
      <c r="AC292" s="625"/>
      <c r="AD292" s="625"/>
      <c r="AE292" s="625"/>
      <c r="AF292" s="32"/>
      <c r="AG292" s="32" t="str">
        <f t="shared" si="43"/>
        <v>Spring 2021 ~ ACAD YR 2021</v>
      </c>
      <c r="AH292" s="32"/>
      <c r="AI292" s="32"/>
      <c r="AJ292" s="32"/>
      <c r="AK292" s="32"/>
      <c r="AL292" s="32"/>
      <c r="AM292" s="32"/>
      <c r="AN292" s="32"/>
      <c r="AO292" s="32"/>
      <c r="AP292" s="32"/>
      <c r="AQ292" s="32"/>
      <c r="AR292" s="32"/>
      <c r="AS292" s="32"/>
      <c r="AT292" s="32"/>
      <c r="AU292" s="626">
        <f t="shared" si="45"/>
        <v>44197</v>
      </c>
      <c r="AV292" s="625"/>
      <c r="AW292" s="625"/>
      <c r="AX292" s="625"/>
      <c r="AY292" s="625"/>
      <c r="AZ292" s="625"/>
      <c r="BA292" s="625"/>
      <c r="BB292" s="32"/>
      <c r="BC292" s="634">
        <f>EDATE(AU290,12)-1</f>
        <v>44332</v>
      </c>
      <c r="BD292" s="632"/>
      <c r="BE292" s="632"/>
      <c r="BF292" s="632"/>
      <c r="BG292" s="632"/>
      <c r="BH292" s="632"/>
      <c r="BI292" s="632"/>
      <c r="BJ292" s="33"/>
      <c r="BK292" s="79">
        <f t="shared" si="44"/>
        <v>0</v>
      </c>
      <c r="BL292" s="33"/>
      <c r="BM292" s="101" t="str">
        <f t="shared" si="46"/>
        <v/>
      </c>
      <c r="BN292" s="99"/>
      <c r="BO292" s="99"/>
      <c r="BP292" s="33"/>
      <c r="BQ292" s="101"/>
      <c r="BR292" s="101"/>
      <c r="BS292" s="101"/>
      <c r="BT292" s="33"/>
      <c r="BU292" s="100"/>
      <c r="BV292" s="100"/>
      <c r="BW292" s="100"/>
      <c r="BX292" s="33"/>
      <c r="BY292" s="103"/>
      <c r="BZ292" s="103"/>
      <c r="CA292" s="103"/>
      <c r="CB292" s="33"/>
      <c r="CC292" s="79"/>
      <c r="CD292" s="79"/>
      <c r="CE292" s="79"/>
      <c r="CF292" s="79"/>
      <c r="CG292" s="79"/>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row>
    <row r="293" spans="5:109" hidden="1" x14ac:dyDescent="0.3">
      <c r="E293" s="73" t="s">
        <v>180</v>
      </c>
      <c r="F293" s="33"/>
      <c r="G293" s="74" t="str">
        <f t="shared" ref="G293:G313" si="47">G290</f>
        <v>Summer</v>
      </c>
      <c r="H293" s="33"/>
      <c r="I293" s="33"/>
      <c r="J293" s="33"/>
      <c r="K293" s="627">
        <f>K292</f>
        <v>2021</v>
      </c>
      <c r="L293" s="628"/>
      <c r="M293" s="628"/>
      <c r="N293" s="33"/>
      <c r="O293" s="629">
        <f>O290+1</f>
        <v>2022</v>
      </c>
      <c r="P293" s="630"/>
      <c r="Q293" s="630"/>
      <c r="R293" s="33"/>
      <c r="S293" s="631">
        <v>2</v>
      </c>
      <c r="T293" s="631"/>
      <c r="U293" s="631"/>
      <c r="V293" s="33"/>
      <c r="W293" s="635">
        <f>TROutStart*(1+COLA/100)</f>
        <v>475.96300000000002</v>
      </c>
      <c r="X293" s="635"/>
      <c r="Y293" s="635"/>
      <c r="Z293" s="33"/>
      <c r="AA293" s="632">
        <f t="shared" si="42"/>
        <v>952</v>
      </c>
      <c r="AB293" s="632"/>
      <c r="AC293" s="632"/>
      <c r="AD293" s="632"/>
      <c r="AE293" s="632"/>
      <c r="AF293" s="33"/>
      <c r="AG293" s="33" t="str">
        <f t="shared" si="43"/>
        <v>Summer 2021 ~ ACAD YR 2022</v>
      </c>
      <c r="AH293" s="33"/>
      <c r="AI293" s="33"/>
      <c r="AJ293" s="33"/>
      <c r="AK293" s="33"/>
      <c r="AL293" s="33"/>
      <c r="AM293" s="33"/>
      <c r="AN293" s="33"/>
      <c r="AO293" s="33"/>
      <c r="AP293" s="33"/>
      <c r="AQ293" s="33"/>
      <c r="AR293" s="33"/>
      <c r="AS293" s="33"/>
      <c r="AT293" s="33"/>
      <c r="AU293" s="633">
        <f t="shared" si="45"/>
        <v>44333</v>
      </c>
      <c r="AV293" s="633"/>
      <c r="AW293" s="633"/>
      <c r="AX293" s="633"/>
      <c r="AY293" s="633"/>
      <c r="AZ293" s="633"/>
      <c r="BA293" s="633"/>
      <c r="BB293" s="33">
        <f>EDATE(AU293,1)</f>
        <v>44364</v>
      </c>
      <c r="BC293" s="634">
        <f>EOMONTH(AU293,3)</f>
        <v>44439</v>
      </c>
      <c r="BD293" s="634"/>
      <c r="BE293" s="634"/>
      <c r="BF293" s="634"/>
      <c r="BG293" s="634"/>
      <c r="BH293" s="634"/>
      <c r="BI293" s="634"/>
      <c r="BJ293" s="33"/>
      <c r="BK293" s="79">
        <f t="shared" si="44"/>
        <v>0</v>
      </c>
      <c r="BL293" s="33"/>
      <c r="BM293" s="101" t="str">
        <f t="shared" si="46"/>
        <v/>
      </c>
      <c r="BN293" s="99"/>
      <c r="BO293" s="99"/>
      <c r="BP293" s="33"/>
      <c r="BQ293" s="104"/>
      <c r="BR293" s="79"/>
      <c r="BS293" s="79"/>
      <c r="BT293" s="33"/>
      <c r="BU293" s="102"/>
      <c r="BV293" s="102"/>
      <c r="BW293" s="102"/>
      <c r="BX293" s="33"/>
      <c r="BY293" s="103"/>
      <c r="BZ293" s="103"/>
      <c r="CA293" s="103"/>
      <c r="CB293" s="33"/>
      <c r="CC293" s="79"/>
      <c r="CD293" s="79"/>
      <c r="CE293" s="79"/>
      <c r="CF293" s="79"/>
      <c r="CG293" s="79"/>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row>
    <row r="294" spans="5:109" hidden="1" x14ac:dyDescent="0.3">
      <c r="E294" s="73" t="s">
        <v>182</v>
      </c>
      <c r="F294" s="33"/>
      <c r="G294" s="74" t="str">
        <f t="shared" si="47"/>
        <v>Fall</v>
      </c>
      <c r="H294" s="33"/>
      <c r="I294" s="33"/>
      <c r="J294" s="33"/>
      <c r="K294" s="627">
        <f>K293</f>
        <v>2021</v>
      </c>
      <c r="L294" s="628"/>
      <c r="M294" s="628"/>
      <c r="N294" s="33"/>
      <c r="O294" s="627">
        <f>O293</f>
        <v>2022</v>
      </c>
      <c r="P294" s="627"/>
      <c r="Q294" s="627"/>
      <c r="R294" s="33"/>
      <c r="S294" s="631">
        <v>9</v>
      </c>
      <c r="T294" s="631"/>
      <c r="U294" s="631"/>
      <c r="V294" s="33"/>
      <c r="W294" s="635">
        <f>TROutStart*(1+COLA/100)</f>
        <v>475.96300000000002</v>
      </c>
      <c r="X294" s="635"/>
      <c r="Y294" s="635"/>
      <c r="Z294" s="33"/>
      <c r="AA294" s="632">
        <f t="shared" si="42"/>
        <v>4284</v>
      </c>
      <c r="AB294" s="632"/>
      <c r="AC294" s="632"/>
      <c r="AD294" s="632"/>
      <c r="AE294" s="632"/>
      <c r="AF294" s="33"/>
      <c r="AG294" s="33" t="str">
        <f t="shared" si="43"/>
        <v>Fall 2021 ~ ACAD YR 2022</v>
      </c>
      <c r="AH294" s="33"/>
      <c r="AI294" s="33"/>
      <c r="AJ294" s="33"/>
      <c r="AK294" s="33"/>
      <c r="AL294" s="33"/>
      <c r="AM294" s="33"/>
      <c r="AN294" s="33"/>
      <c r="AO294" s="33"/>
      <c r="AP294" s="33"/>
      <c r="AQ294" s="33"/>
      <c r="AR294" s="33"/>
      <c r="AS294" s="33"/>
      <c r="AT294" s="33"/>
      <c r="AU294" s="634">
        <f t="shared" si="45"/>
        <v>44440</v>
      </c>
      <c r="AV294" s="632"/>
      <c r="AW294" s="632"/>
      <c r="AX294" s="632"/>
      <c r="AY294" s="632"/>
      <c r="AZ294" s="632"/>
      <c r="BA294" s="632"/>
      <c r="BB294" s="33"/>
      <c r="BC294" s="634">
        <f>EOMONTH(AU294,3)</f>
        <v>44561</v>
      </c>
      <c r="BD294" s="634"/>
      <c r="BE294" s="634"/>
      <c r="BF294" s="634"/>
      <c r="BG294" s="634"/>
      <c r="BH294" s="634"/>
      <c r="BI294" s="634"/>
      <c r="BJ294" s="33"/>
      <c r="BK294" s="79">
        <f t="shared" si="44"/>
        <v>0</v>
      </c>
      <c r="BL294" s="33"/>
      <c r="BM294" s="101" t="str">
        <f t="shared" si="46"/>
        <v/>
      </c>
      <c r="BN294" s="99"/>
      <c r="BO294" s="99"/>
      <c r="BP294" s="33"/>
      <c r="BQ294" s="101"/>
      <c r="BR294" s="101"/>
      <c r="BS294" s="101"/>
      <c r="BT294" s="33"/>
      <c r="BU294" s="102"/>
      <c r="BV294" s="102"/>
      <c r="BW294" s="102"/>
      <c r="BX294" s="33"/>
      <c r="BY294" s="103"/>
      <c r="BZ294" s="103"/>
      <c r="CA294" s="103"/>
      <c r="CB294" s="33"/>
      <c r="CC294" s="79"/>
      <c r="CD294" s="79"/>
      <c r="CE294" s="79"/>
      <c r="CF294" s="79"/>
      <c r="CG294" s="79"/>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row>
    <row r="295" spans="5:109" hidden="1" x14ac:dyDescent="0.3">
      <c r="E295" s="76" t="s">
        <v>184</v>
      </c>
      <c r="F295" s="32"/>
      <c r="G295" s="77" t="str">
        <f t="shared" si="47"/>
        <v>Spring</v>
      </c>
      <c r="H295" s="32"/>
      <c r="I295" s="32"/>
      <c r="J295" s="32"/>
      <c r="K295" s="622">
        <f>K294+1</f>
        <v>2022</v>
      </c>
      <c r="L295" s="622"/>
      <c r="M295" s="622"/>
      <c r="N295" s="32"/>
      <c r="O295" s="622">
        <f>O294</f>
        <v>2022</v>
      </c>
      <c r="P295" s="622"/>
      <c r="Q295" s="622"/>
      <c r="R295" s="32"/>
      <c r="S295" s="623">
        <v>9</v>
      </c>
      <c r="T295" s="623"/>
      <c r="U295" s="623"/>
      <c r="V295" s="32"/>
      <c r="W295" s="635">
        <f>TROutStart*(1+COLA/100)</f>
        <v>475.96300000000002</v>
      </c>
      <c r="X295" s="635"/>
      <c r="Y295" s="635"/>
      <c r="Z295" s="32"/>
      <c r="AA295" s="625">
        <f t="shared" si="42"/>
        <v>4284</v>
      </c>
      <c r="AB295" s="625"/>
      <c r="AC295" s="625"/>
      <c r="AD295" s="625"/>
      <c r="AE295" s="625"/>
      <c r="AF295" s="32"/>
      <c r="AG295" s="32" t="str">
        <f t="shared" si="43"/>
        <v>Spring 2022 ~ ACAD YR 2022</v>
      </c>
      <c r="AH295" s="32"/>
      <c r="AI295" s="32"/>
      <c r="AJ295" s="32"/>
      <c r="AK295" s="32"/>
      <c r="AL295" s="32"/>
      <c r="AM295" s="32"/>
      <c r="AN295" s="32"/>
      <c r="AO295" s="32"/>
      <c r="AP295" s="32"/>
      <c r="AQ295" s="32"/>
      <c r="AR295" s="32"/>
      <c r="AS295" s="32"/>
      <c r="AT295" s="32"/>
      <c r="AU295" s="626">
        <f t="shared" si="45"/>
        <v>44562</v>
      </c>
      <c r="AV295" s="625"/>
      <c r="AW295" s="625"/>
      <c r="AX295" s="625"/>
      <c r="AY295" s="625"/>
      <c r="AZ295" s="625"/>
      <c r="BA295" s="625"/>
      <c r="BB295" s="32"/>
      <c r="BC295" s="705">
        <f>EDATE(AU293,12)-1</f>
        <v>44697</v>
      </c>
      <c r="BD295" s="706"/>
      <c r="BE295" s="706"/>
      <c r="BF295" s="706"/>
      <c r="BG295" s="706"/>
      <c r="BH295" s="706"/>
      <c r="BI295" s="706"/>
      <c r="BJ295" s="33"/>
      <c r="BK295" s="79">
        <f t="shared" si="44"/>
        <v>0</v>
      </c>
      <c r="BL295" s="33"/>
      <c r="BM295" s="101" t="str">
        <f t="shared" si="46"/>
        <v/>
      </c>
      <c r="BN295" s="101"/>
      <c r="BO295" s="101"/>
      <c r="BP295" s="33"/>
      <c r="BQ295" s="101"/>
      <c r="BR295" s="101"/>
      <c r="BS295" s="101"/>
      <c r="BT295" s="33"/>
      <c r="BU295" s="100"/>
      <c r="BV295" s="100"/>
      <c r="BW295" s="100"/>
      <c r="BX295" s="33"/>
      <c r="BY295" s="103"/>
      <c r="BZ295" s="103"/>
      <c r="CA295" s="103"/>
      <c r="CB295" s="33"/>
      <c r="CC295" s="79"/>
      <c r="CD295" s="79"/>
      <c r="CE295" s="79"/>
      <c r="CF295" s="79"/>
      <c r="CG295" s="79"/>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row>
    <row r="296" spans="5:109" hidden="1" x14ac:dyDescent="0.3">
      <c r="E296" s="73" t="s">
        <v>180</v>
      </c>
      <c r="F296" s="33"/>
      <c r="G296" s="74" t="str">
        <f t="shared" si="47"/>
        <v>Summer</v>
      </c>
      <c r="H296" s="33"/>
      <c r="I296" s="33"/>
      <c r="J296" s="33"/>
      <c r="K296" s="627">
        <f>K295</f>
        <v>2022</v>
      </c>
      <c r="L296" s="628"/>
      <c r="M296" s="628"/>
      <c r="N296" s="33"/>
      <c r="O296" s="629">
        <f>O293+1</f>
        <v>2023</v>
      </c>
      <c r="P296" s="630"/>
      <c r="Q296" s="630"/>
      <c r="R296" s="33"/>
      <c r="S296" s="631">
        <v>2</v>
      </c>
      <c r="T296" s="631"/>
      <c r="U296" s="631"/>
      <c r="V296" s="33"/>
      <c r="W296" s="635">
        <f>TROutStart*(1+COLA/100)*(1+COLA/100)</f>
        <v>490.24189000000001</v>
      </c>
      <c r="X296" s="635"/>
      <c r="Y296" s="635"/>
      <c r="Z296" s="33"/>
      <c r="AA296" s="632">
        <f t="shared" si="42"/>
        <v>981</v>
      </c>
      <c r="AB296" s="632"/>
      <c r="AC296" s="632"/>
      <c r="AD296" s="632"/>
      <c r="AE296" s="632"/>
      <c r="AF296" s="33"/>
      <c r="AG296" s="33" t="str">
        <f t="shared" si="43"/>
        <v>Summer 2022 ~ ACAD YR 2023</v>
      </c>
      <c r="AH296" s="33"/>
      <c r="AI296" s="33"/>
      <c r="AJ296" s="33"/>
      <c r="AK296" s="33"/>
      <c r="AL296" s="33"/>
      <c r="AM296" s="33"/>
      <c r="AN296" s="33"/>
      <c r="AO296" s="33"/>
      <c r="AP296" s="33"/>
      <c r="AQ296" s="33"/>
      <c r="AR296" s="33"/>
      <c r="AS296" s="33"/>
      <c r="AT296" s="33"/>
      <c r="AU296" s="633">
        <f t="shared" si="45"/>
        <v>44698</v>
      </c>
      <c r="AV296" s="633"/>
      <c r="AW296" s="633"/>
      <c r="AX296" s="633"/>
      <c r="AY296" s="633"/>
      <c r="AZ296" s="633"/>
      <c r="BA296" s="633"/>
      <c r="BB296" s="33">
        <f>EDATE(AU296,1)</f>
        <v>44729</v>
      </c>
      <c r="BC296" s="634">
        <f>EOMONTH(AU296,3)</f>
        <v>44804</v>
      </c>
      <c r="BD296" s="634"/>
      <c r="BE296" s="634"/>
      <c r="BF296" s="634"/>
      <c r="BG296" s="634"/>
      <c r="BH296" s="634"/>
      <c r="BI296" s="634"/>
      <c r="BJ296" s="33"/>
      <c r="BK296" s="79">
        <f t="shared" si="44"/>
        <v>0</v>
      </c>
      <c r="BL296" s="33"/>
      <c r="BM296" s="101" t="str">
        <f t="shared" si="46"/>
        <v/>
      </c>
      <c r="BN296" s="99"/>
      <c r="BO296" s="99"/>
      <c r="BP296" s="33"/>
      <c r="BQ296" s="104"/>
      <c r="BR296" s="79"/>
      <c r="BS296" s="79"/>
      <c r="BT296" s="33"/>
      <c r="BU296" s="102"/>
      <c r="BV296" s="102"/>
      <c r="BW296" s="102"/>
      <c r="BX296" s="33"/>
      <c r="BY296" s="103"/>
      <c r="BZ296" s="103"/>
      <c r="CA296" s="103"/>
      <c r="CB296" s="33"/>
      <c r="CC296" s="79"/>
      <c r="CD296" s="79"/>
      <c r="CE296" s="79"/>
      <c r="CF296" s="79"/>
      <c r="CG296" s="79"/>
      <c r="CH296" s="33"/>
      <c r="CI296" s="33"/>
      <c r="CJ296" s="33"/>
      <c r="CK296" s="33"/>
      <c r="CL296" s="33"/>
      <c r="CM296" s="33"/>
      <c r="CN296" s="33"/>
      <c r="CO296" s="33"/>
      <c r="CP296" s="33"/>
      <c r="CQ296" s="33"/>
      <c r="CR296" s="33"/>
      <c r="CS296" s="33"/>
      <c r="CT296" s="33"/>
      <c r="CU296" s="33"/>
      <c r="CV296" s="33"/>
      <c r="CW296" s="33"/>
      <c r="CX296" s="33"/>
      <c r="CY296" s="33"/>
      <c r="CZ296" s="33"/>
      <c r="DA296" s="33"/>
      <c r="DB296" s="33"/>
      <c r="DC296" s="33"/>
      <c r="DD296" s="33"/>
      <c r="DE296" s="33"/>
    </row>
    <row r="297" spans="5:109" hidden="1" x14ac:dyDescent="0.3">
      <c r="E297" s="73" t="s">
        <v>182</v>
      </c>
      <c r="F297" s="33"/>
      <c r="G297" s="74" t="str">
        <f t="shared" si="47"/>
        <v>Fall</v>
      </c>
      <c r="H297" s="33"/>
      <c r="I297" s="33"/>
      <c r="J297" s="33"/>
      <c r="K297" s="627">
        <f>K296</f>
        <v>2022</v>
      </c>
      <c r="L297" s="628"/>
      <c r="M297" s="628"/>
      <c r="N297" s="33"/>
      <c r="O297" s="627">
        <f>O296</f>
        <v>2023</v>
      </c>
      <c r="P297" s="627"/>
      <c r="Q297" s="627"/>
      <c r="R297" s="33"/>
      <c r="S297" s="631">
        <v>9</v>
      </c>
      <c r="T297" s="631"/>
      <c r="U297" s="631"/>
      <c r="V297" s="33"/>
      <c r="W297" s="635">
        <f>TROutStart*(1+COLA/100)*(1+COLA/100)</f>
        <v>490.24189000000001</v>
      </c>
      <c r="X297" s="635"/>
      <c r="Y297" s="635"/>
      <c r="Z297" s="33"/>
      <c r="AA297" s="632">
        <f t="shared" si="42"/>
        <v>4413</v>
      </c>
      <c r="AB297" s="632"/>
      <c r="AC297" s="632"/>
      <c r="AD297" s="632"/>
      <c r="AE297" s="632"/>
      <c r="AF297" s="33"/>
      <c r="AG297" s="33" t="str">
        <f t="shared" si="43"/>
        <v>Fall 2022 ~ ACAD YR 2023</v>
      </c>
      <c r="AH297" s="33"/>
      <c r="AI297" s="33"/>
      <c r="AJ297" s="33"/>
      <c r="AK297" s="33"/>
      <c r="AL297" s="33"/>
      <c r="AM297" s="33"/>
      <c r="AN297" s="33"/>
      <c r="AO297" s="33"/>
      <c r="AP297" s="33"/>
      <c r="AQ297" s="33"/>
      <c r="AR297" s="33"/>
      <c r="AS297" s="33"/>
      <c r="AT297" s="33"/>
      <c r="AU297" s="634">
        <f t="shared" si="45"/>
        <v>44805</v>
      </c>
      <c r="AV297" s="632"/>
      <c r="AW297" s="632"/>
      <c r="AX297" s="632"/>
      <c r="AY297" s="632"/>
      <c r="AZ297" s="632"/>
      <c r="BA297" s="632"/>
      <c r="BB297" s="33"/>
      <c r="BC297" s="634">
        <f>EOMONTH(AU297,3)</f>
        <v>44926</v>
      </c>
      <c r="BD297" s="634"/>
      <c r="BE297" s="634"/>
      <c r="BF297" s="634"/>
      <c r="BG297" s="634"/>
      <c r="BH297" s="634"/>
      <c r="BI297" s="634"/>
      <c r="BJ297" s="33"/>
      <c r="BK297" s="79">
        <f t="shared" si="44"/>
        <v>0</v>
      </c>
      <c r="BL297" s="33"/>
      <c r="BM297" s="101" t="str">
        <f t="shared" si="46"/>
        <v/>
      </c>
      <c r="BN297" s="99"/>
      <c r="BO297" s="99"/>
      <c r="BP297" s="33"/>
      <c r="BQ297" s="101"/>
      <c r="BR297" s="101"/>
      <c r="BS297" s="101"/>
      <c r="BT297" s="33"/>
      <c r="BU297" s="102"/>
      <c r="BV297" s="102"/>
      <c r="BW297" s="102"/>
      <c r="BX297" s="33"/>
      <c r="BY297" s="103"/>
      <c r="BZ297" s="103"/>
      <c r="CA297" s="103"/>
      <c r="CB297" s="33"/>
      <c r="CC297" s="79"/>
      <c r="CD297" s="79"/>
      <c r="CE297" s="79"/>
      <c r="CF297" s="79"/>
      <c r="CG297" s="79"/>
      <c r="CH297" s="33"/>
      <c r="CI297" s="33"/>
      <c r="CJ297" s="33"/>
      <c r="CK297" s="33"/>
      <c r="CL297" s="33"/>
      <c r="CM297" s="33"/>
      <c r="CN297" s="33"/>
      <c r="CO297" s="33"/>
      <c r="CP297" s="33"/>
      <c r="CQ297" s="33"/>
      <c r="CR297" s="33"/>
      <c r="CS297" s="33"/>
      <c r="CT297" s="33"/>
      <c r="CU297" s="33"/>
      <c r="CV297" s="33"/>
      <c r="CW297" s="33"/>
      <c r="CX297" s="33"/>
      <c r="CY297" s="33"/>
      <c r="CZ297" s="33"/>
      <c r="DA297" s="33"/>
      <c r="DB297" s="33"/>
      <c r="DC297" s="33"/>
      <c r="DD297" s="33"/>
      <c r="DE297" s="33"/>
    </row>
    <row r="298" spans="5:109" hidden="1" x14ac:dyDescent="0.3">
      <c r="E298" s="76" t="s">
        <v>184</v>
      </c>
      <c r="F298" s="32"/>
      <c r="G298" s="77" t="str">
        <f t="shared" si="47"/>
        <v>Spring</v>
      </c>
      <c r="H298" s="32"/>
      <c r="I298" s="32"/>
      <c r="J298" s="32"/>
      <c r="K298" s="622">
        <f>K297+1</f>
        <v>2023</v>
      </c>
      <c r="L298" s="622"/>
      <c r="M298" s="622"/>
      <c r="N298" s="32"/>
      <c r="O298" s="622">
        <f>O297</f>
        <v>2023</v>
      </c>
      <c r="P298" s="622"/>
      <c r="Q298" s="622"/>
      <c r="R298" s="32"/>
      <c r="S298" s="623">
        <v>9</v>
      </c>
      <c r="T298" s="623"/>
      <c r="U298" s="623"/>
      <c r="V298" s="32"/>
      <c r="W298" s="635">
        <f>TROutStart*(1+COLA/100)*(1+COLA/100)</f>
        <v>490.24189000000001</v>
      </c>
      <c r="X298" s="635"/>
      <c r="Y298" s="635"/>
      <c r="Z298" s="32"/>
      <c r="AA298" s="625">
        <f t="shared" si="42"/>
        <v>4413</v>
      </c>
      <c r="AB298" s="625"/>
      <c r="AC298" s="625"/>
      <c r="AD298" s="625"/>
      <c r="AE298" s="625"/>
      <c r="AF298" s="32"/>
      <c r="AG298" s="32" t="str">
        <f t="shared" si="43"/>
        <v>Spring 2023 ~ ACAD YR 2023</v>
      </c>
      <c r="AH298" s="32"/>
      <c r="AI298" s="32"/>
      <c r="AJ298" s="32"/>
      <c r="AK298" s="32"/>
      <c r="AL298" s="32"/>
      <c r="AM298" s="32"/>
      <c r="AN298" s="32"/>
      <c r="AO298" s="32"/>
      <c r="AP298" s="32"/>
      <c r="AQ298" s="32"/>
      <c r="AR298" s="32"/>
      <c r="AS298" s="32"/>
      <c r="AT298" s="32"/>
      <c r="AU298" s="626">
        <f t="shared" si="45"/>
        <v>44927</v>
      </c>
      <c r="AV298" s="625"/>
      <c r="AW298" s="625"/>
      <c r="AX298" s="625"/>
      <c r="AY298" s="625"/>
      <c r="AZ298" s="625"/>
      <c r="BA298" s="625"/>
      <c r="BB298" s="32"/>
      <c r="BC298" s="705">
        <f>EDATE(AU296,12)-1</f>
        <v>45062</v>
      </c>
      <c r="BD298" s="706"/>
      <c r="BE298" s="706"/>
      <c r="BF298" s="706"/>
      <c r="BG298" s="706"/>
      <c r="BH298" s="706"/>
      <c r="BI298" s="706"/>
      <c r="BJ298" s="33"/>
      <c r="BK298" s="79">
        <f t="shared" si="44"/>
        <v>0</v>
      </c>
      <c r="BL298" s="33"/>
      <c r="BM298" s="101" t="str">
        <f t="shared" si="46"/>
        <v/>
      </c>
      <c r="BN298" s="101"/>
      <c r="BO298" s="101"/>
      <c r="BP298" s="33"/>
      <c r="BQ298" s="101"/>
      <c r="BR298" s="101"/>
      <c r="BS298" s="101"/>
      <c r="BT298" s="33"/>
      <c r="BU298" s="100"/>
      <c r="BV298" s="100"/>
      <c r="BW298" s="100"/>
      <c r="BX298" s="33"/>
      <c r="BY298" s="103"/>
      <c r="BZ298" s="103"/>
      <c r="CA298" s="103"/>
      <c r="CB298" s="33"/>
      <c r="CC298" s="79"/>
      <c r="CD298" s="79"/>
      <c r="CE298" s="79"/>
      <c r="CF298" s="79"/>
      <c r="CG298" s="79"/>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row>
    <row r="299" spans="5:109" hidden="1" x14ac:dyDescent="0.3">
      <c r="E299" s="73" t="s">
        <v>180</v>
      </c>
      <c r="F299" s="33"/>
      <c r="G299" s="74" t="str">
        <f t="shared" si="47"/>
        <v>Summer</v>
      </c>
      <c r="H299" s="33"/>
      <c r="I299" s="33"/>
      <c r="J299" s="33"/>
      <c r="K299" s="627">
        <f>K298</f>
        <v>2023</v>
      </c>
      <c r="L299" s="628"/>
      <c r="M299" s="628"/>
      <c r="N299" s="33"/>
      <c r="O299" s="629">
        <f>O296+1</f>
        <v>2024</v>
      </c>
      <c r="P299" s="630"/>
      <c r="Q299" s="630"/>
      <c r="R299" s="33"/>
      <c r="S299" s="631">
        <v>2</v>
      </c>
      <c r="T299" s="631"/>
      <c r="U299" s="631"/>
      <c r="V299" s="33"/>
      <c r="W299" s="624">
        <f>TROutStart*(1+COLA/100)*(1+COLA/100)*(1+COLA/100)</f>
        <v>504.94914670000003</v>
      </c>
      <c r="X299" s="624"/>
      <c r="Y299" s="624"/>
      <c r="Z299" s="33"/>
      <c r="AA299" s="632">
        <f t="shared" si="42"/>
        <v>1010</v>
      </c>
      <c r="AB299" s="632"/>
      <c r="AC299" s="632"/>
      <c r="AD299" s="632"/>
      <c r="AE299" s="632"/>
      <c r="AF299" s="33"/>
      <c r="AG299" s="33" t="str">
        <f t="shared" si="43"/>
        <v>Summer 2023 ~ ACAD YR 2024</v>
      </c>
      <c r="AH299" s="33"/>
      <c r="AI299" s="33"/>
      <c r="AJ299" s="33"/>
      <c r="AK299" s="33"/>
      <c r="AL299" s="33"/>
      <c r="AM299" s="33"/>
      <c r="AN299" s="33"/>
      <c r="AO299" s="33"/>
      <c r="AP299" s="33"/>
      <c r="AQ299" s="33"/>
      <c r="AR299" s="33"/>
      <c r="AS299" s="33"/>
      <c r="AT299" s="33"/>
      <c r="AU299" s="633">
        <f t="shared" si="45"/>
        <v>45063</v>
      </c>
      <c r="AV299" s="633"/>
      <c r="AW299" s="633"/>
      <c r="AX299" s="633"/>
      <c r="AY299" s="633"/>
      <c r="AZ299" s="633"/>
      <c r="BA299" s="633"/>
      <c r="BB299" s="33">
        <f>EDATE(AU299,1)</f>
        <v>45094</v>
      </c>
      <c r="BC299" s="634">
        <f>EOMONTH(AU299,3)</f>
        <v>45169</v>
      </c>
      <c r="BD299" s="634"/>
      <c r="BE299" s="634"/>
      <c r="BF299" s="634"/>
      <c r="BG299" s="634"/>
      <c r="BH299" s="634"/>
      <c r="BI299" s="634"/>
      <c r="BJ299" s="33"/>
      <c r="BK299" s="79">
        <f t="shared" si="44"/>
        <v>0</v>
      </c>
      <c r="BL299" s="33"/>
      <c r="BM299" s="101" t="str">
        <f t="shared" si="46"/>
        <v/>
      </c>
      <c r="BN299" s="99"/>
      <c r="BO299" s="99"/>
      <c r="BP299" s="33"/>
      <c r="BQ299" s="104"/>
      <c r="BR299" s="79"/>
      <c r="BS299" s="79"/>
      <c r="BT299" s="33"/>
      <c r="BU299" s="102"/>
      <c r="BV299" s="102"/>
      <c r="BW299" s="102"/>
      <c r="BX299" s="33"/>
      <c r="BY299" s="103"/>
      <c r="BZ299" s="103"/>
      <c r="CA299" s="103"/>
      <c r="CB299" s="33"/>
      <c r="CC299" s="79"/>
      <c r="CD299" s="79"/>
      <c r="CE299" s="79"/>
      <c r="CF299" s="79"/>
      <c r="CG299" s="79"/>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row>
    <row r="300" spans="5:109" hidden="1" x14ac:dyDescent="0.3">
      <c r="E300" s="73" t="s">
        <v>182</v>
      </c>
      <c r="F300" s="33"/>
      <c r="G300" s="74" t="str">
        <f t="shared" si="47"/>
        <v>Fall</v>
      </c>
      <c r="H300" s="33"/>
      <c r="I300" s="33"/>
      <c r="J300" s="33"/>
      <c r="K300" s="627">
        <f>K299</f>
        <v>2023</v>
      </c>
      <c r="L300" s="628"/>
      <c r="M300" s="628"/>
      <c r="N300" s="33"/>
      <c r="O300" s="627">
        <f>O299</f>
        <v>2024</v>
      </c>
      <c r="P300" s="627"/>
      <c r="Q300" s="627"/>
      <c r="R300" s="33"/>
      <c r="S300" s="631">
        <v>9</v>
      </c>
      <c r="T300" s="631"/>
      <c r="U300" s="631"/>
      <c r="V300" s="33"/>
      <c r="W300" s="624">
        <f>TROutStart*(1+COLA/100)*(1+COLA/100)*(1+COLA/100)</f>
        <v>504.94914670000003</v>
      </c>
      <c r="X300" s="624"/>
      <c r="Y300" s="624"/>
      <c r="Z300" s="33"/>
      <c r="AA300" s="632">
        <f t="shared" si="42"/>
        <v>4545</v>
      </c>
      <c r="AB300" s="632"/>
      <c r="AC300" s="632"/>
      <c r="AD300" s="632"/>
      <c r="AE300" s="632"/>
      <c r="AF300" s="33"/>
      <c r="AG300" s="33" t="str">
        <f t="shared" si="43"/>
        <v>Fall 2023 ~ ACAD YR 2024</v>
      </c>
      <c r="AH300" s="33"/>
      <c r="AI300" s="33"/>
      <c r="AJ300" s="33"/>
      <c r="AK300" s="33"/>
      <c r="AL300" s="33"/>
      <c r="AM300" s="33"/>
      <c r="AN300" s="33"/>
      <c r="AO300" s="33"/>
      <c r="AP300" s="33"/>
      <c r="AQ300" s="33"/>
      <c r="AR300" s="33"/>
      <c r="AS300" s="33"/>
      <c r="AT300" s="33"/>
      <c r="AU300" s="634">
        <f t="shared" si="45"/>
        <v>45170</v>
      </c>
      <c r="AV300" s="632"/>
      <c r="AW300" s="632"/>
      <c r="AX300" s="632"/>
      <c r="AY300" s="632"/>
      <c r="AZ300" s="632"/>
      <c r="BA300" s="632"/>
      <c r="BB300" s="33"/>
      <c r="BC300" s="634">
        <f>EOMONTH(AU300,3)</f>
        <v>45291</v>
      </c>
      <c r="BD300" s="634"/>
      <c r="BE300" s="634"/>
      <c r="BF300" s="634"/>
      <c r="BG300" s="634"/>
      <c r="BH300" s="634"/>
      <c r="BI300" s="634"/>
      <c r="BJ300" s="33"/>
      <c r="BK300" s="79">
        <f t="shared" si="44"/>
        <v>0</v>
      </c>
      <c r="BL300" s="33"/>
      <c r="BM300" s="101" t="str">
        <f t="shared" si="46"/>
        <v/>
      </c>
      <c r="BN300" s="99"/>
      <c r="BO300" s="99"/>
      <c r="BP300" s="33"/>
      <c r="BQ300" s="101"/>
      <c r="BR300" s="101"/>
      <c r="BS300" s="101"/>
      <c r="BT300" s="33"/>
      <c r="BU300" s="102"/>
      <c r="BV300" s="102"/>
      <c r="BW300" s="102"/>
      <c r="BX300" s="33"/>
      <c r="BY300" s="103"/>
      <c r="BZ300" s="103"/>
      <c r="CA300" s="103"/>
      <c r="CB300" s="33"/>
      <c r="CC300" s="79"/>
      <c r="CD300" s="79"/>
      <c r="CE300" s="79"/>
      <c r="CF300" s="79"/>
      <c r="CG300" s="79"/>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row>
    <row r="301" spans="5:109" hidden="1" x14ac:dyDescent="0.3">
      <c r="E301" s="76" t="s">
        <v>184</v>
      </c>
      <c r="F301" s="32"/>
      <c r="G301" s="77" t="str">
        <f t="shared" si="47"/>
        <v>Spring</v>
      </c>
      <c r="H301" s="32"/>
      <c r="I301" s="32"/>
      <c r="J301" s="32"/>
      <c r="K301" s="622">
        <f>K300+1</f>
        <v>2024</v>
      </c>
      <c r="L301" s="622"/>
      <c r="M301" s="622"/>
      <c r="N301" s="32"/>
      <c r="O301" s="622">
        <f>O300</f>
        <v>2024</v>
      </c>
      <c r="P301" s="622"/>
      <c r="Q301" s="622"/>
      <c r="R301" s="32"/>
      <c r="S301" s="623">
        <v>9</v>
      </c>
      <c r="T301" s="623"/>
      <c r="U301" s="623"/>
      <c r="V301" s="32"/>
      <c r="W301" s="624">
        <f>TROutStart*(1+COLA/100)*(1+COLA/100)*(1+COLA/100)</f>
        <v>504.94914670000003</v>
      </c>
      <c r="X301" s="624"/>
      <c r="Y301" s="624"/>
      <c r="Z301" s="32"/>
      <c r="AA301" s="625">
        <f t="shared" si="42"/>
        <v>4545</v>
      </c>
      <c r="AB301" s="625"/>
      <c r="AC301" s="625"/>
      <c r="AD301" s="625"/>
      <c r="AE301" s="625"/>
      <c r="AF301" s="32"/>
      <c r="AG301" s="32" t="str">
        <f t="shared" si="43"/>
        <v>Spring 2024 ~ ACAD YR 2024</v>
      </c>
      <c r="AH301" s="32"/>
      <c r="AI301" s="32"/>
      <c r="AJ301" s="32"/>
      <c r="AK301" s="32"/>
      <c r="AL301" s="32"/>
      <c r="AM301" s="32"/>
      <c r="AN301" s="32"/>
      <c r="AO301" s="32"/>
      <c r="AP301" s="32"/>
      <c r="AQ301" s="32"/>
      <c r="AR301" s="32"/>
      <c r="AS301" s="32"/>
      <c r="AT301" s="32"/>
      <c r="AU301" s="626">
        <f t="shared" si="45"/>
        <v>45292</v>
      </c>
      <c r="AV301" s="625"/>
      <c r="AW301" s="625"/>
      <c r="AX301" s="625"/>
      <c r="AY301" s="625"/>
      <c r="AZ301" s="625"/>
      <c r="BA301" s="625"/>
      <c r="BB301" s="32"/>
      <c r="BC301" s="705">
        <f>EDATE(AU299,12)-1</f>
        <v>45428</v>
      </c>
      <c r="BD301" s="706"/>
      <c r="BE301" s="706"/>
      <c r="BF301" s="706"/>
      <c r="BG301" s="706"/>
      <c r="BH301" s="706"/>
      <c r="BI301" s="706"/>
      <c r="BJ301" s="33"/>
      <c r="BK301" s="79">
        <f t="shared" si="44"/>
        <v>0</v>
      </c>
      <c r="BL301" s="33"/>
      <c r="BM301" s="101" t="str">
        <f t="shared" si="46"/>
        <v/>
      </c>
      <c r="BN301" s="101"/>
      <c r="BO301" s="101"/>
      <c r="BP301" s="33"/>
      <c r="BQ301" s="101"/>
      <c r="BR301" s="101"/>
      <c r="BS301" s="101"/>
      <c r="BT301" s="33"/>
      <c r="BU301" s="100"/>
      <c r="BV301" s="100"/>
      <c r="BW301" s="100"/>
      <c r="BX301" s="33"/>
      <c r="BY301" s="103"/>
      <c r="BZ301" s="103"/>
      <c r="CA301" s="103"/>
      <c r="CB301" s="33"/>
      <c r="CC301" s="79"/>
      <c r="CD301" s="79"/>
      <c r="CE301" s="79"/>
      <c r="CF301" s="79"/>
      <c r="CG301" s="79"/>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row>
    <row r="302" spans="5:109" hidden="1" x14ac:dyDescent="0.3">
      <c r="E302" s="73" t="s">
        <v>180</v>
      </c>
      <c r="F302" s="33"/>
      <c r="G302" s="74" t="str">
        <f t="shared" si="47"/>
        <v>Summer</v>
      </c>
      <c r="H302" s="33"/>
      <c r="I302" s="33"/>
      <c r="J302" s="33"/>
      <c r="K302" s="627">
        <f>K301</f>
        <v>2024</v>
      </c>
      <c r="L302" s="628"/>
      <c r="M302" s="628"/>
      <c r="N302" s="33"/>
      <c r="O302" s="629">
        <f>O299+1</f>
        <v>2025</v>
      </c>
      <c r="P302" s="630"/>
      <c r="Q302" s="630"/>
      <c r="R302" s="33"/>
      <c r="S302" s="631">
        <v>2</v>
      </c>
      <c r="T302" s="631"/>
      <c r="U302" s="631"/>
      <c r="V302" s="33"/>
      <c r="W302" s="624">
        <f>TROutStart*(1+COLA/100)*(1+COLA/100)*(1+COLA/100)*(1+COLA/100)</f>
        <v>520.09762110100007</v>
      </c>
      <c r="X302" s="624"/>
      <c r="Y302" s="624"/>
      <c r="Z302" s="33"/>
      <c r="AA302" s="632">
        <f t="shared" si="42"/>
        <v>1041</v>
      </c>
      <c r="AB302" s="632"/>
      <c r="AC302" s="632"/>
      <c r="AD302" s="632"/>
      <c r="AE302" s="632"/>
      <c r="AF302" s="33"/>
      <c r="AG302" s="33" t="str">
        <f t="shared" si="43"/>
        <v>Summer 2024 ~ ACAD YR 2025</v>
      </c>
      <c r="AH302" s="33"/>
      <c r="AI302" s="33"/>
      <c r="AJ302" s="33"/>
      <c r="AK302" s="33"/>
      <c r="AL302" s="33"/>
      <c r="AM302" s="33"/>
      <c r="AN302" s="33"/>
      <c r="AO302" s="33"/>
      <c r="AP302" s="33"/>
      <c r="AQ302" s="33"/>
      <c r="AR302" s="33"/>
      <c r="AS302" s="33"/>
      <c r="AT302" s="33"/>
      <c r="AU302" s="633">
        <f t="shared" si="45"/>
        <v>45429</v>
      </c>
      <c r="AV302" s="633"/>
      <c r="AW302" s="633"/>
      <c r="AX302" s="633"/>
      <c r="AY302" s="633"/>
      <c r="AZ302" s="633"/>
      <c r="BA302" s="633"/>
      <c r="BB302" s="33">
        <f>EDATE(AU302,1)</f>
        <v>45460</v>
      </c>
      <c r="BC302" s="634">
        <f>EOMONTH(AU302,3)</f>
        <v>45535</v>
      </c>
      <c r="BD302" s="634"/>
      <c r="BE302" s="634"/>
      <c r="BF302" s="634"/>
      <c r="BG302" s="634"/>
      <c r="BH302" s="634"/>
      <c r="BI302" s="634"/>
      <c r="BJ302" s="33"/>
      <c r="BK302" s="79">
        <f t="shared" si="44"/>
        <v>0</v>
      </c>
      <c r="BL302" s="33"/>
      <c r="BM302" s="101" t="str">
        <f t="shared" si="46"/>
        <v/>
      </c>
      <c r="BN302" s="99"/>
      <c r="BO302" s="99"/>
      <c r="BP302" s="33"/>
      <c r="BQ302" s="104"/>
      <c r="BR302" s="79"/>
      <c r="BS302" s="79"/>
      <c r="BT302" s="33"/>
      <c r="BU302" s="102"/>
      <c r="BV302" s="102"/>
      <c r="BW302" s="102"/>
      <c r="BX302" s="33"/>
      <c r="BY302" s="103"/>
      <c r="BZ302" s="103"/>
      <c r="CA302" s="103"/>
      <c r="CB302" s="33"/>
      <c r="CC302" s="79"/>
      <c r="CD302" s="79"/>
      <c r="CE302" s="79"/>
      <c r="CF302" s="79"/>
      <c r="CG302" s="79"/>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row>
    <row r="303" spans="5:109" hidden="1" x14ac:dyDescent="0.3">
      <c r="E303" s="73" t="s">
        <v>182</v>
      </c>
      <c r="F303" s="33"/>
      <c r="G303" s="74" t="str">
        <f t="shared" si="47"/>
        <v>Fall</v>
      </c>
      <c r="H303" s="33"/>
      <c r="I303" s="33"/>
      <c r="J303" s="33"/>
      <c r="K303" s="627">
        <f>K302</f>
        <v>2024</v>
      </c>
      <c r="L303" s="628"/>
      <c r="M303" s="628"/>
      <c r="N303" s="33"/>
      <c r="O303" s="627">
        <f>O302</f>
        <v>2025</v>
      </c>
      <c r="P303" s="627"/>
      <c r="Q303" s="627"/>
      <c r="R303" s="33"/>
      <c r="S303" s="631">
        <v>9</v>
      </c>
      <c r="T303" s="631"/>
      <c r="U303" s="631"/>
      <c r="V303" s="33"/>
      <c r="W303" s="624">
        <f>TROutStart*(1+COLA/100)*(1+COLA/100)*(1+COLA/100)*(1+COLA/100)</f>
        <v>520.09762110100007</v>
      </c>
      <c r="X303" s="624"/>
      <c r="Y303" s="624"/>
      <c r="Z303" s="33"/>
      <c r="AA303" s="632">
        <f t="shared" si="42"/>
        <v>4681</v>
      </c>
      <c r="AB303" s="632"/>
      <c r="AC303" s="632"/>
      <c r="AD303" s="632"/>
      <c r="AE303" s="632"/>
      <c r="AF303" s="33"/>
      <c r="AG303" s="33" t="str">
        <f t="shared" si="43"/>
        <v>Fall 2024 ~ ACAD YR 2025</v>
      </c>
      <c r="AH303" s="33"/>
      <c r="AI303" s="33"/>
      <c r="AJ303" s="33"/>
      <c r="AK303" s="33"/>
      <c r="AL303" s="33"/>
      <c r="AM303" s="33"/>
      <c r="AN303" s="33"/>
      <c r="AO303" s="33"/>
      <c r="AP303" s="33"/>
      <c r="AQ303" s="33"/>
      <c r="AR303" s="33"/>
      <c r="AS303" s="33"/>
      <c r="AT303" s="33"/>
      <c r="AU303" s="634">
        <f t="shared" si="45"/>
        <v>45536</v>
      </c>
      <c r="AV303" s="632"/>
      <c r="AW303" s="632"/>
      <c r="AX303" s="632"/>
      <c r="AY303" s="632"/>
      <c r="AZ303" s="632"/>
      <c r="BA303" s="632"/>
      <c r="BB303" s="33"/>
      <c r="BC303" s="634">
        <f>EOMONTH(AU303,3)</f>
        <v>45657</v>
      </c>
      <c r="BD303" s="634"/>
      <c r="BE303" s="634"/>
      <c r="BF303" s="634"/>
      <c r="BG303" s="634"/>
      <c r="BH303" s="634"/>
      <c r="BI303" s="634"/>
      <c r="BJ303" s="33"/>
      <c r="BK303" s="79">
        <f t="shared" si="44"/>
        <v>0</v>
      </c>
      <c r="BL303" s="33"/>
      <c r="BM303" s="101" t="str">
        <f t="shared" si="46"/>
        <v/>
      </c>
      <c r="BN303" s="99"/>
      <c r="BO303" s="99"/>
      <c r="BP303" s="33"/>
      <c r="BQ303" s="101"/>
      <c r="BR303" s="101"/>
      <c r="BS303" s="101"/>
      <c r="BT303" s="33"/>
      <c r="BU303" s="102"/>
      <c r="BV303" s="102"/>
      <c r="BW303" s="102"/>
      <c r="BX303" s="33"/>
      <c r="BY303" s="103"/>
      <c r="BZ303" s="103"/>
      <c r="CA303" s="103"/>
      <c r="CB303" s="33"/>
      <c r="CC303" s="79"/>
      <c r="CD303" s="79"/>
      <c r="CE303" s="79"/>
      <c r="CF303" s="79"/>
      <c r="CG303" s="79"/>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row>
    <row r="304" spans="5:109" hidden="1" x14ac:dyDescent="0.3">
      <c r="E304" s="76" t="s">
        <v>184</v>
      </c>
      <c r="F304" s="32"/>
      <c r="G304" s="77" t="str">
        <f t="shared" si="47"/>
        <v>Spring</v>
      </c>
      <c r="H304" s="32"/>
      <c r="I304" s="32"/>
      <c r="J304" s="32"/>
      <c r="K304" s="622">
        <f>K303+1</f>
        <v>2025</v>
      </c>
      <c r="L304" s="622"/>
      <c r="M304" s="622"/>
      <c r="N304" s="32"/>
      <c r="O304" s="622">
        <f>O303</f>
        <v>2025</v>
      </c>
      <c r="P304" s="622"/>
      <c r="Q304" s="622"/>
      <c r="R304" s="32"/>
      <c r="S304" s="623">
        <v>9</v>
      </c>
      <c r="T304" s="623"/>
      <c r="U304" s="623"/>
      <c r="V304" s="32"/>
      <c r="W304" s="624">
        <f>TROutStart*(1+COLA/100)*(1+COLA/100)*(1+COLA/100)*(1+COLA/100)</f>
        <v>520.09762110100007</v>
      </c>
      <c r="X304" s="624"/>
      <c r="Y304" s="624"/>
      <c r="Z304" s="32"/>
      <c r="AA304" s="625">
        <f t="shared" si="42"/>
        <v>4681</v>
      </c>
      <c r="AB304" s="625"/>
      <c r="AC304" s="625"/>
      <c r="AD304" s="625"/>
      <c r="AE304" s="625"/>
      <c r="AF304" s="32"/>
      <c r="AG304" s="32" t="str">
        <f t="shared" si="43"/>
        <v>Spring 2025 ~ ACAD YR 2025</v>
      </c>
      <c r="AH304" s="32"/>
      <c r="AI304" s="32"/>
      <c r="AJ304" s="32"/>
      <c r="AK304" s="32"/>
      <c r="AL304" s="32"/>
      <c r="AM304" s="32"/>
      <c r="AN304" s="32"/>
      <c r="AO304" s="32"/>
      <c r="AP304" s="32"/>
      <c r="AQ304" s="32"/>
      <c r="AR304" s="32"/>
      <c r="AS304" s="32"/>
      <c r="AT304" s="32"/>
      <c r="AU304" s="626">
        <f t="shared" si="45"/>
        <v>45658</v>
      </c>
      <c r="AV304" s="625"/>
      <c r="AW304" s="625"/>
      <c r="AX304" s="625"/>
      <c r="AY304" s="625"/>
      <c r="AZ304" s="625"/>
      <c r="BA304" s="625"/>
      <c r="BB304" s="32"/>
      <c r="BC304" s="705">
        <f>EDATE(AU302,12)-1</f>
        <v>45793</v>
      </c>
      <c r="BD304" s="706"/>
      <c r="BE304" s="706"/>
      <c r="BF304" s="706"/>
      <c r="BG304" s="706"/>
      <c r="BH304" s="706"/>
      <c r="BI304" s="706"/>
      <c r="BJ304" s="33"/>
      <c r="BK304" s="79">
        <f t="shared" si="44"/>
        <v>0</v>
      </c>
      <c r="BL304" s="33"/>
      <c r="BM304" s="101" t="str">
        <f t="shared" si="46"/>
        <v/>
      </c>
      <c r="BN304" s="101"/>
      <c r="BO304" s="101"/>
      <c r="BP304" s="33"/>
      <c r="BQ304" s="101"/>
      <c r="BR304" s="101"/>
      <c r="BS304" s="101"/>
      <c r="BT304" s="33"/>
      <c r="BU304" s="100"/>
      <c r="BV304" s="100"/>
      <c r="BW304" s="100"/>
      <c r="BX304" s="33"/>
      <c r="BY304" s="103"/>
      <c r="BZ304" s="103"/>
      <c r="CA304" s="103"/>
      <c r="CB304" s="33"/>
      <c r="CC304" s="79"/>
      <c r="CD304" s="79"/>
      <c r="CE304" s="79"/>
      <c r="CF304" s="79"/>
      <c r="CG304" s="79"/>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row>
    <row r="305" spans="5:109" hidden="1" x14ac:dyDescent="0.3">
      <c r="E305" s="73" t="s">
        <v>180</v>
      </c>
      <c r="F305" s="33"/>
      <c r="G305" s="74" t="str">
        <f t="shared" si="47"/>
        <v>Summer</v>
      </c>
      <c r="H305" s="33"/>
      <c r="I305" s="33"/>
      <c r="J305" s="33"/>
      <c r="K305" s="627">
        <f>K304</f>
        <v>2025</v>
      </c>
      <c r="L305" s="628"/>
      <c r="M305" s="628"/>
      <c r="N305" s="33"/>
      <c r="O305" s="629">
        <f>O302+1</f>
        <v>2026</v>
      </c>
      <c r="P305" s="630"/>
      <c r="Q305" s="630"/>
      <c r="R305" s="33"/>
      <c r="S305" s="631">
        <v>2</v>
      </c>
      <c r="T305" s="631"/>
      <c r="U305" s="631"/>
      <c r="V305" s="33"/>
      <c r="W305" s="624">
        <f>TROutStart*(1+COLA/100)*(1+COLA/100)*(1+COLA/100)*(1+COLA/100)*(1+COLA/100)</f>
        <v>535.70054973403012</v>
      </c>
      <c r="X305" s="624"/>
      <c r="Y305" s="624"/>
      <c r="Z305" s="33"/>
      <c r="AA305" s="632">
        <f t="shared" si="42"/>
        <v>1072</v>
      </c>
      <c r="AB305" s="632"/>
      <c r="AC305" s="632"/>
      <c r="AD305" s="632"/>
      <c r="AE305" s="632"/>
      <c r="AF305" s="33"/>
      <c r="AG305" s="33" t="str">
        <f t="shared" si="43"/>
        <v>Summer 2025 ~ ACAD YR 2026</v>
      </c>
      <c r="AH305" s="33"/>
      <c r="AI305" s="33"/>
      <c r="AJ305" s="33"/>
      <c r="AK305" s="33"/>
      <c r="AL305" s="33"/>
      <c r="AM305" s="33"/>
      <c r="AN305" s="33"/>
      <c r="AO305" s="33"/>
      <c r="AP305" s="33"/>
      <c r="AQ305" s="33"/>
      <c r="AR305" s="33"/>
      <c r="AS305" s="33"/>
      <c r="AT305" s="33"/>
      <c r="AU305" s="633">
        <f t="shared" si="45"/>
        <v>45794</v>
      </c>
      <c r="AV305" s="633"/>
      <c r="AW305" s="633"/>
      <c r="AX305" s="633"/>
      <c r="AY305" s="633"/>
      <c r="AZ305" s="633"/>
      <c r="BA305" s="633"/>
      <c r="BB305" s="33">
        <f>EDATE(AU305,1)</f>
        <v>45825</v>
      </c>
      <c r="BC305" s="634">
        <f>EOMONTH(AU305,3)</f>
        <v>45900</v>
      </c>
      <c r="BD305" s="634"/>
      <c r="BE305" s="634"/>
      <c r="BF305" s="634"/>
      <c r="BG305" s="634"/>
      <c r="BH305" s="634"/>
      <c r="BI305" s="634"/>
      <c r="BJ305" s="33"/>
      <c r="BK305" s="79">
        <f t="shared" si="44"/>
        <v>0</v>
      </c>
      <c r="BL305" s="33"/>
      <c r="BM305" s="101" t="str">
        <f t="shared" si="46"/>
        <v/>
      </c>
      <c r="BN305" s="99"/>
      <c r="BO305" s="99"/>
      <c r="BP305" s="33"/>
      <c r="BQ305" s="104"/>
      <c r="BR305" s="79"/>
      <c r="BS305" s="79"/>
      <c r="BT305" s="33"/>
      <c r="BU305" s="102"/>
      <c r="BV305" s="102"/>
      <c r="BW305" s="102"/>
      <c r="BX305" s="33"/>
      <c r="BY305" s="103"/>
      <c r="BZ305" s="103"/>
      <c r="CA305" s="103"/>
      <c r="CB305" s="33"/>
      <c r="CC305" s="79"/>
      <c r="CD305" s="79"/>
      <c r="CE305" s="79"/>
      <c r="CF305" s="79"/>
      <c r="CG305" s="79"/>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row>
    <row r="306" spans="5:109" hidden="1" x14ac:dyDescent="0.3">
      <c r="E306" s="73" t="s">
        <v>182</v>
      </c>
      <c r="F306" s="33"/>
      <c r="G306" s="74" t="str">
        <f t="shared" si="47"/>
        <v>Fall</v>
      </c>
      <c r="H306" s="33"/>
      <c r="I306" s="33"/>
      <c r="J306" s="33"/>
      <c r="K306" s="627">
        <f>K305</f>
        <v>2025</v>
      </c>
      <c r="L306" s="628"/>
      <c r="M306" s="628"/>
      <c r="N306" s="33"/>
      <c r="O306" s="627">
        <f>O305</f>
        <v>2026</v>
      </c>
      <c r="P306" s="627"/>
      <c r="Q306" s="627"/>
      <c r="R306" s="33"/>
      <c r="S306" s="631">
        <v>9</v>
      </c>
      <c r="T306" s="631"/>
      <c r="U306" s="631"/>
      <c r="V306" s="33"/>
      <c r="W306" s="624">
        <f>TROutStart*(1+COLA/100)*(1+COLA/100)*(1+COLA/100)*(1+COLA/100)*(1+COLA/100)</f>
        <v>535.70054973403012</v>
      </c>
      <c r="X306" s="624"/>
      <c r="Y306" s="624"/>
      <c r="Z306" s="33"/>
      <c r="AA306" s="632">
        <f t="shared" si="42"/>
        <v>4822</v>
      </c>
      <c r="AB306" s="632"/>
      <c r="AC306" s="632"/>
      <c r="AD306" s="632"/>
      <c r="AE306" s="632"/>
      <c r="AF306" s="33"/>
      <c r="AG306" s="33" t="str">
        <f t="shared" si="43"/>
        <v>Fall 2025 ~ ACAD YR 2026</v>
      </c>
      <c r="AH306" s="33"/>
      <c r="AI306" s="33"/>
      <c r="AJ306" s="33"/>
      <c r="AK306" s="33"/>
      <c r="AL306" s="33"/>
      <c r="AM306" s="33"/>
      <c r="AN306" s="33"/>
      <c r="AO306" s="33"/>
      <c r="AP306" s="33"/>
      <c r="AQ306" s="33"/>
      <c r="AR306" s="33"/>
      <c r="AS306" s="33"/>
      <c r="AT306" s="33"/>
      <c r="AU306" s="634">
        <f t="shared" si="45"/>
        <v>45901</v>
      </c>
      <c r="AV306" s="632"/>
      <c r="AW306" s="632"/>
      <c r="AX306" s="632"/>
      <c r="AY306" s="632"/>
      <c r="AZ306" s="632"/>
      <c r="BA306" s="632"/>
      <c r="BB306" s="33"/>
      <c r="BC306" s="634">
        <f>EOMONTH(AU306,3)</f>
        <v>46022</v>
      </c>
      <c r="BD306" s="634"/>
      <c r="BE306" s="634"/>
      <c r="BF306" s="634"/>
      <c r="BG306" s="634"/>
      <c r="BH306" s="634"/>
      <c r="BI306" s="634"/>
      <c r="BJ306" s="33"/>
      <c r="BK306" s="79">
        <f t="shared" si="44"/>
        <v>0</v>
      </c>
      <c r="BL306" s="33"/>
      <c r="BM306" s="101" t="str">
        <f t="shared" si="46"/>
        <v/>
      </c>
      <c r="BN306" s="99"/>
      <c r="BO306" s="99"/>
      <c r="BP306" s="33"/>
      <c r="BQ306" s="101"/>
      <c r="BR306" s="101"/>
      <c r="BS306" s="101"/>
      <c r="BT306" s="33"/>
      <c r="BU306" s="102"/>
      <c r="BV306" s="102"/>
      <c r="BW306" s="102"/>
      <c r="BX306" s="33"/>
      <c r="BY306" s="103"/>
      <c r="BZ306" s="103"/>
      <c r="CA306" s="103"/>
      <c r="CB306" s="33"/>
      <c r="CC306" s="79"/>
      <c r="CD306" s="79"/>
      <c r="CE306" s="79"/>
      <c r="CF306" s="79"/>
      <c r="CG306" s="79"/>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row>
    <row r="307" spans="5:109" hidden="1" x14ac:dyDescent="0.3">
      <c r="E307" s="76" t="s">
        <v>184</v>
      </c>
      <c r="F307" s="32"/>
      <c r="G307" s="77" t="str">
        <f t="shared" si="47"/>
        <v>Spring</v>
      </c>
      <c r="H307" s="32"/>
      <c r="I307" s="32"/>
      <c r="J307" s="32"/>
      <c r="K307" s="622">
        <f>K306+1</f>
        <v>2026</v>
      </c>
      <c r="L307" s="622"/>
      <c r="M307" s="622"/>
      <c r="N307" s="32"/>
      <c r="O307" s="622">
        <f>O306</f>
        <v>2026</v>
      </c>
      <c r="P307" s="622"/>
      <c r="Q307" s="622"/>
      <c r="R307" s="32"/>
      <c r="S307" s="623">
        <v>9</v>
      </c>
      <c r="T307" s="623"/>
      <c r="U307" s="623"/>
      <c r="V307" s="32"/>
      <c r="W307" s="624">
        <f>TROutStart*(1+COLA/100)*(1+COLA/100)*(1+COLA/100)*(1+COLA/100)*(1+COLA/100)</f>
        <v>535.70054973403012</v>
      </c>
      <c r="X307" s="624"/>
      <c r="Y307" s="624"/>
      <c r="Z307" s="32"/>
      <c r="AA307" s="625">
        <f t="shared" si="42"/>
        <v>4822</v>
      </c>
      <c r="AB307" s="625"/>
      <c r="AC307" s="625"/>
      <c r="AD307" s="625"/>
      <c r="AE307" s="625"/>
      <c r="AF307" s="32"/>
      <c r="AG307" s="32" t="str">
        <f t="shared" si="43"/>
        <v>Spring 2026 ~ ACAD YR 2026</v>
      </c>
      <c r="AH307" s="32"/>
      <c r="AI307" s="32"/>
      <c r="AJ307" s="32"/>
      <c r="AK307" s="32"/>
      <c r="AL307" s="32"/>
      <c r="AM307" s="32"/>
      <c r="AN307" s="32"/>
      <c r="AO307" s="32"/>
      <c r="AP307" s="32"/>
      <c r="AQ307" s="32"/>
      <c r="AR307" s="32"/>
      <c r="AS307" s="32"/>
      <c r="AT307" s="32"/>
      <c r="AU307" s="626">
        <f t="shared" si="45"/>
        <v>46023</v>
      </c>
      <c r="AV307" s="625"/>
      <c r="AW307" s="625"/>
      <c r="AX307" s="625"/>
      <c r="AY307" s="625"/>
      <c r="AZ307" s="625"/>
      <c r="BA307" s="625"/>
      <c r="BB307" s="32"/>
      <c r="BC307" s="626">
        <f>EDATE(AU305,12)-1</f>
        <v>46158</v>
      </c>
      <c r="BD307" s="625"/>
      <c r="BE307" s="625"/>
      <c r="BF307" s="625"/>
      <c r="BG307" s="625"/>
      <c r="BH307" s="625"/>
      <c r="BI307" s="625"/>
      <c r="BJ307" s="33"/>
      <c r="BK307" s="79">
        <f t="shared" si="44"/>
        <v>0</v>
      </c>
      <c r="BL307" s="33"/>
      <c r="BM307" s="101" t="str">
        <f t="shared" si="46"/>
        <v/>
      </c>
      <c r="BN307" s="101"/>
      <c r="BO307" s="101"/>
      <c r="BP307" s="33"/>
      <c r="BQ307" s="101"/>
      <c r="BR307" s="101"/>
      <c r="BS307" s="101"/>
      <c r="BT307" s="33"/>
      <c r="BU307" s="100"/>
      <c r="BV307" s="100"/>
      <c r="BW307" s="100"/>
      <c r="BX307" s="33"/>
      <c r="BY307" s="103"/>
      <c r="BZ307" s="103"/>
      <c r="CA307" s="103"/>
      <c r="CB307" s="33"/>
      <c r="CC307" s="79"/>
      <c r="CD307" s="79"/>
      <c r="CE307" s="79"/>
      <c r="CF307" s="79"/>
      <c r="CG307" s="79"/>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row>
    <row r="308" spans="5:109" hidden="1" x14ac:dyDescent="0.3">
      <c r="E308" s="73" t="s">
        <v>180</v>
      </c>
      <c r="F308" s="33"/>
      <c r="G308" s="74" t="str">
        <f t="shared" si="47"/>
        <v>Summer</v>
      </c>
      <c r="H308" s="33"/>
      <c r="I308" s="33"/>
      <c r="J308" s="33"/>
      <c r="K308" s="627">
        <f>K307</f>
        <v>2026</v>
      </c>
      <c r="L308" s="628"/>
      <c r="M308" s="628"/>
      <c r="N308" s="33"/>
      <c r="O308" s="629">
        <f>O305+1</f>
        <v>2027</v>
      </c>
      <c r="P308" s="630"/>
      <c r="Q308" s="630"/>
      <c r="R308" s="33"/>
      <c r="S308" s="631">
        <v>2</v>
      </c>
      <c r="T308" s="631"/>
      <c r="U308" s="631"/>
      <c r="V308" s="33"/>
      <c r="W308" s="624">
        <f>TROutStart*(1+COLA/100)*(1+COLA/100)*(1+COLA/100)*(1+COLA/100)*(1+COLA/100)*(1+COLA/100)</f>
        <v>551.77156622605105</v>
      </c>
      <c r="X308" s="624"/>
      <c r="Y308" s="624"/>
      <c r="Z308" s="33"/>
      <c r="AA308" s="632">
        <f t="shared" ref="AA308:AA313" si="48">ROUNDUP(W308*S308,0)</f>
        <v>1104</v>
      </c>
      <c r="AB308" s="632"/>
      <c r="AC308" s="632"/>
      <c r="AD308" s="632"/>
      <c r="AE308" s="632"/>
      <c r="AF308" s="33"/>
      <c r="AG308" s="33" t="str">
        <f t="shared" ref="AG308:AG313" si="49">G308&amp;" "&amp;K308&amp;" ~ ACAD YR "&amp;O308</f>
        <v>Summer 2026 ~ ACAD YR 2027</v>
      </c>
      <c r="AH308" s="33"/>
      <c r="AI308" s="33"/>
      <c r="AJ308" s="33"/>
      <c r="AK308" s="33"/>
      <c r="AL308" s="33"/>
      <c r="AM308" s="33"/>
      <c r="AN308" s="33"/>
      <c r="AO308" s="33"/>
      <c r="AP308" s="33"/>
      <c r="AQ308" s="33"/>
      <c r="AR308" s="33"/>
      <c r="AS308" s="33"/>
      <c r="AT308" s="33"/>
      <c r="AU308" s="633">
        <f t="shared" ref="AU308:AU313" si="50">BC307+1</f>
        <v>46159</v>
      </c>
      <c r="AV308" s="633"/>
      <c r="AW308" s="633"/>
      <c r="AX308" s="633"/>
      <c r="AY308" s="633"/>
      <c r="AZ308" s="633"/>
      <c r="BA308" s="633"/>
      <c r="BB308" s="33">
        <f>EDATE(AU308,1)</f>
        <v>46190</v>
      </c>
      <c r="BC308" s="634">
        <f>EOMONTH(AU308,3)</f>
        <v>46265</v>
      </c>
      <c r="BD308" s="634"/>
      <c r="BE308" s="634"/>
      <c r="BF308" s="634"/>
      <c r="BG308" s="634"/>
      <c r="BH308" s="634"/>
      <c r="BI308" s="634"/>
      <c r="BJ308" s="33"/>
      <c r="BK308" s="79">
        <f t="shared" ref="BK308:BK313" si="51">IF($AM$62&gt;AU308,IF($AM$62&lt;BC308,1,0),0)</f>
        <v>0</v>
      </c>
      <c r="BL308" s="33"/>
      <c r="BM308" s="101" t="str">
        <f t="shared" ref="BM308:BM313" si="52">IF(BK308=1,"Start","")</f>
        <v/>
      </c>
      <c r="BN308" s="99"/>
      <c r="BO308" s="99"/>
      <c r="BP308" s="33"/>
      <c r="BQ308" s="104"/>
      <c r="BR308" s="79"/>
      <c r="BS308" s="79"/>
      <c r="BT308" s="33"/>
      <c r="BU308" s="102"/>
      <c r="BV308" s="102"/>
      <c r="BW308" s="102"/>
      <c r="BX308" s="33"/>
      <c r="BY308" s="103"/>
      <c r="BZ308" s="103"/>
      <c r="CA308" s="103"/>
      <c r="CB308" s="33"/>
      <c r="CC308" s="79"/>
      <c r="CD308" s="79"/>
      <c r="CE308" s="79"/>
      <c r="CF308" s="79"/>
      <c r="CG308" s="79"/>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row>
    <row r="309" spans="5:109" hidden="1" x14ac:dyDescent="0.3">
      <c r="E309" s="73" t="s">
        <v>182</v>
      </c>
      <c r="F309" s="33"/>
      <c r="G309" s="74" t="str">
        <f t="shared" si="47"/>
        <v>Fall</v>
      </c>
      <c r="H309" s="33"/>
      <c r="I309" s="33"/>
      <c r="J309" s="33"/>
      <c r="K309" s="627">
        <f>K308</f>
        <v>2026</v>
      </c>
      <c r="L309" s="628"/>
      <c r="M309" s="628"/>
      <c r="N309" s="33"/>
      <c r="O309" s="627">
        <f>O308</f>
        <v>2027</v>
      </c>
      <c r="P309" s="627"/>
      <c r="Q309" s="627"/>
      <c r="R309" s="33"/>
      <c r="S309" s="631">
        <v>9</v>
      </c>
      <c r="T309" s="631"/>
      <c r="U309" s="631"/>
      <c r="V309" s="33"/>
      <c r="W309" s="624">
        <f>TROutStart*(1+COLA/100)*(1+COLA/100)*(1+COLA/100)*(1+COLA/100)*(1+COLA/100)*(1+COLA/100)</f>
        <v>551.77156622605105</v>
      </c>
      <c r="X309" s="624"/>
      <c r="Y309" s="624"/>
      <c r="Z309" s="33"/>
      <c r="AA309" s="632">
        <f t="shared" si="48"/>
        <v>4966</v>
      </c>
      <c r="AB309" s="632"/>
      <c r="AC309" s="632"/>
      <c r="AD309" s="632"/>
      <c r="AE309" s="632"/>
      <c r="AF309" s="33"/>
      <c r="AG309" s="33" t="str">
        <f t="shared" si="49"/>
        <v>Fall 2026 ~ ACAD YR 2027</v>
      </c>
      <c r="AH309" s="33"/>
      <c r="AI309" s="33"/>
      <c r="AJ309" s="33"/>
      <c r="AK309" s="33"/>
      <c r="AL309" s="33"/>
      <c r="AM309" s="33"/>
      <c r="AN309" s="33"/>
      <c r="AO309" s="33"/>
      <c r="AP309" s="33"/>
      <c r="AQ309" s="33"/>
      <c r="AR309" s="33"/>
      <c r="AS309" s="33"/>
      <c r="AT309" s="33"/>
      <c r="AU309" s="634">
        <f t="shared" si="50"/>
        <v>46266</v>
      </c>
      <c r="AV309" s="632"/>
      <c r="AW309" s="632"/>
      <c r="AX309" s="632"/>
      <c r="AY309" s="632"/>
      <c r="AZ309" s="632"/>
      <c r="BA309" s="632"/>
      <c r="BB309" s="33"/>
      <c r="BC309" s="634">
        <f>EOMONTH(AU309,3)</f>
        <v>46387</v>
      </c>
      <c r="BD309" s="634"/>
      <c r="BE309" s="634"/>
      <c r="BF309" s="634"/>
      <c r="BG309" s="634"/>
      <c r="BH309" s="634"/>
      <c r="BI309" s="634"/>
      <c r="BJ309" s="33"/>
      <c r="BK309" s="79">
        <f t="shared" si="51"/>
        <v>0</v>
      </c>
      <c r="BL309" s="33"/>
      <c r="BM309" s="101" t="str">
        <f t="shared" si="52"/>
        <v/>
      </c>
      <c r="BN309" s="99"/>
      <c r="BO309" s="99"/>
      <c r="BP309" s="33"/>
      <c r="BQ309" s="101"/>
      <c r="BR309" s="101"/>
      <c r="BS309" s="101"/>
      <c r="BT309" s="33"/>
      <c r="BU309" s="102"/>
      <c r="BV309" s="102"/>
      <c r="BW309" s="102"/>
      <c r="BX309" s="33"/>
      <c r="BY309" s="103"/>
      <c r="BZ309" s="103"/>
      <c r="CA309" s="103"/>
      <c r="CB309" s="33"/>
      <c r="CC309" s="79"/>
      <c r="CD309" s="79"/>
      <c r="CE309" s="79"/>
      <c r="CF309" s="79"/>
      <c r="CG309" s="79"/>
      <c r="CH309" s="33"/>
      <c r="CI309" s="33"/>
      <c r="CJ309" s="33"/>
      <c r="CK309" s="33"/>
      <c r="CL309" s="33"/>
      <c r="CM309" s="33"/>
      <c r="CN309" s="33"/>
      <c r="CO309" s="33"/>
      <c r="CP309" s="33"/>
      <c r="CQ309" s="33"/>
      <c r="CR309" s="33"/>
      <c r="CS309" s="33"/>
      <c r="CT309" s="33"/>
      <c r="CU309" s="33"/>
      <c r="CV309" s="33"/>
      <c r="CW309" s="33"/>
      <c r="CX309" s="33"/>
      <c r="CY309" s="33"/>
      <c r="CZ309" s="33"/>
      <c r="DA309" s="33"/>
      <c r="DB309" s="33"/>
      <c r="DC309" s="33"/>
      <c r="DD309" s="33"/>
      <c r="DE309" s="33"/>
    </row>
    <row r="310" spans="5:109" hidden="1" x14ac:dyDescent="0.3">
      <c r="E310" s="76" t="s">
        <v>184</v>
      </c>
      <c r="F310" s="32"/>
      <c r="G310" s="77" t="str">
        <f t="shared" si="47"/>
        <v>Spring</v>
      </c>
      <c r="H310" s="32"/>
      <c r="I310" s="32"/>
      <c r="J310" s="32"/>
      <c r="K310" s="622">
        <f>K309+1</f>
        <v>2027</v>
      </c>
      <c r="L310" s="622"/>
      <c r="M310" s="622"/>
      <c r="N310" s="32"/>
      <c r="O310" s="622">
        <f>O309</f>
        <v>2027</v>
      </c>
      <c r="P310" s="622"/>
      <c r="Q310" s="622"/>
      <c r="R310" s="32"/>
      <c r="S310" s="623">
        <v>9</v>
      </c>
      <c r="T310" s="623"/>
      <c r="U310" s="623"/>
      <c r="V310" s="32"/>
      <c r="W310" s="624">
        <f>TROutStart*(1+COLA/100)*(1+COLA/100)*(1+COLA/100)*(1+COLA/100)*(1+COLA/100)*(1+COLA/100)</f>
        <v>551.77156622605105</v>
      </c>
      <c r="X310" s="624"/>
      <c r="Y310" s="624"/>
      <c r="Z310" s="32"/>
      <c r="AA310" s="625">
        <f t="shared" si="48"/>
        <v>4966</v>
      </c>
      <c r="AB310" s="625"/>
      <c r="AC310" s="625"/>
      <c r="AD310" s="625"/>
      <c r="AE310" s="625"/>
      <c r="AF310" s="32"/>
      <c r="AG310" s="32" t="str">
        <f t="shared" si="49"/>
        <v>Spring 2027 ~ ACAD YR 2027</v>
      </c>
      <c r="AH310" s="32"/>
      <c r="AI310" s="32"/>
      <c r="AJ310" s="32"/>
      <c r="AK310" s="32"/>
      <c r="AL310" s="32"/>
      <c r="AM310" s="32"/>
      <c r="AN310" s="32"/>
      <c r="AO310" s="32"/>
      <c r="AP310" s="32"/>
      <c r="AQ310" s="32"/>
      <c r="AR310" s="32"/>
      <c r="AS310" s="32"/>
      <c r="AT310" s="32"/>
      <c r="AU310" s="626">
        <f t="shared" si="50"/>
        <v>46388</v>
      </c>
      <c r="AV310" s="625"/>
      <c r="AW310" s="625"/>
      <c r="AX310" s="625"/>
      <c r="AY310" s="625"/>
      <c r="AZ310" s="625"/>
      <c r="BA310" s="625"/>
      <c r="BB310" s="32"/>
      <c r="BC310" s="626">
        <f>EDATE(AU308,12)-1</f>
        <v>46523</v>
      </c>
      <c r="BD310" s="625"/>
      <c r="BE310" s="625"/>
      <c r="BF310" s="625"/>
      <c r="BG310" s="625"/>
      <c r="BH310" s="625"/>
      <c r="BI310" s="625"/>
      <c r="BJ310" s="33"/>
      <c r="BK310" s="79">
        <f t="shared" si="51"/>
        <v>0</v>
      </c>
      <c r="BL310" s="33"/>
      <c r="BM310" s="101" t="str">
        <f t="shared" si="52"/>
        <v/>
      </c>
      <c r="BN310" s="101"/>
      <c r="BO310" s="101"/>
      <c r="BP310" s="33"/>
      <c r="BQ310" s="101"/>
      <c r="BR310" s="101"/>
      <c r="BS310" s="101"/>
      <c r="BT310" s="33"/>
      <c r="BU310" s="100"/>
      <c r="BV310" s="100"/>
      <c r="BW310" s="100"/>
      <c r="BX310" s="33"/>
      <c r="BY310" s="103"/>
      <c r="BZ310" s="103"/>
      <c r="CA310" s="103"/>
      <c r="CB310" s="33"/>
      <c r="CC310" s="79"/>
      <c r="CD310" s="79"/>
      <c r="CE310" s="79"/>
      <c r="CF310" s="79"/>
      <c r="CG310" s="79"/>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row>
    <row r="311" spans="5:109" hidden="1" x14ac:dyDescent="0.3">
      <c r="E311" s="73" t="s">
        <v>180</v>
      </c>
      <c r="F311" s="33"/>
      <c r="G311" s="74" t="str">
        <f t="shared" si="47"/>
        <v>Summer</v>
      </c>
      <c r="H311" s="33"/>
      <c r="I311" s="33"/>
      <c r="J311" s="33"/>
      <c r="K311" s="627">
        <f>K310</f>
        <v>2027</v>
      </c>
      <c r="L311" s="628"/>
      <c r="M311" s="628"/>
      <c r="N311" s="33"/>
      <c r="O311" s="629">
        <f>O308+1</f>
        <v>2028</v>
      </c>
      <c r="P311" s="630"/>
      <c r="Q311" s="630"/>
      <c r="R311" s="33"/>
      <c r="S311" s="631">
        <v>2</v>
      </c>
      <c r="T311" s="631"/>
      <c r="U311" s="631"/>
      <c r="V311" s="33"/>
      <c r="W311" s="624">
        <f>TROutStart*(1+COLA/100)*(1+COLA/100)*(1+COLA/100)*(1+COLA/100)*(1+COLA/100)*(1+COLA/100)*(1+COLA/100)</f>
        <v>568.32471321283265</v>
      </c>
      <c r="X311" s="624"/>
      <c r="Y311" s="624"/>
      <c r="Z311" s="33"/>
      <c r="AA311" s="632">
        <f t="shared" si="48"/>
        <v>1137</v>
      </c>
      <c r="AB311" s="632"/>
      <c r="AC311" s="632"/>
      <c r="AD311" s="632"/>
      <c r="AE311" s="632"/>
      <c r="AF311" s="33"/>
      <c r="AG311" s="33" t="str">
        <f t="shared" si="49"/>
        <v>Summer 2027 ~ ACAD YR 2028</v>
      </c>
      <c r="AH311" s="33"/>
      <c r="AI311" s="33"/>
      <c r="AJ311" s="33"/>
      <c r="AK311" s="33"/>
      <c r="AL311" s="33"/>
      <c r="AM311" s="33"/>
      <c r="AN311" s="33"/>
      <c r="AO311" s="33"/>
      <c r="AP311" s="33"/>
      <c r="AQ311" s="33"/>
      <c r="AR311" s="33"/>
      <c r="AS311" s="33"/>
      <c r="AT311" s="33"/>
      <c r="AU311" s="633">
        <f t="shared" si="50"/>
        <v>46524</v>
      </c>
      <c r="AV311" s="633"/>
      <c r="AW311" s="633"/>
      <c r="AX311" s="633"/>
      <c r="AY311" s="633"/>
      <c r="AZ311" s="633"/>
      <c r="BA311" s="633"/>
      <c r="BB311" s="33">
        <f>EDATE(AU311,1)</f>
        <v>46555</v>
      </c>
      <c r="BC311" s="634">
        <f>EOMONTH(AU311,3)</f>
        <v>46630</v>
      </c>
      <c r="BD311" s="634"/>
      <c r="BE311" s="634"/>
      <c r="BF311" s="634"/>
      <c r="BG311" s="634"/>
      <c r="BH311" s="634"/>
      <c r="BI311" s="634"/>
      <c r="BJ311" s="33"/>
      <c r="BK311" s="79">
        <f t="shared" si="51"/>
        <v>0</v>
      </c>
      <c r="BL311" s="33"/>
      <c r="BM311" s="101" t="str">
        <f t="shared" si="52"/>
        <v/>
      </c>
      <c r="BN311" s="99"/>
      <c r="BO311" s="99"/>
      <c r="BP311" s="33"/>
      <c r="BQ311" s="104"/>
      <c r="BR311" s="79"/>
      <c r="BS311" s="79"/>
      <c r="BT311" s="33"/>
      <c r="BU311" s="102"/>
      <c r="BV311" s="102"/>
      <c r="BW311" s="102"/>
      <c r="BX311" s="33"/>
      <c r="BY311" s="103"/>
      <c r="BZ311" s="103"/>
      <c r="CA311" s="103"/>
      <c r="CB311" s="33"/>
      <c r="CC311" s="79"/>
      <c r="CD311" s="79"/>
      <c r="CE311" s="79"/>
      <c r="CF311" s="79"/>
      <c r="CG311" s="79"/>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row>
    <row r="312" spans="5:109" hidden="1" x14ac:dyDescent="0.3">
      <c r="E312" s="73" t="s">
        <v>182</v>
      </c>
      <c r="F312" s="33"/>
      <c r="G312" s="74" t="str">
        <f t="shared" si="47"/>
        <v>Fall</v>
      </c>
      <c r="H312" s="33"/>
      <c r="I312" s="33"/>
      <c r="J312" s="33"/>
      <c r="K312" s="627">
        <f>K311</f>
        <v>2027</v>
      </c>
      <c r="L312" s="628"/>
      <c r="M312" s="628"/>
      <c r="N312" s="33"/>
      <c r="O312" s="627">
        <f>O311</f>
        <v>2028</v>
      </c>
      <c r="P312" s="627"/>
      <c r="Q312" s="627"/>
      <c r="R312" s="33"/>
      <c r="S312" s="631">
        <v>9</v>
      </c>
      <c r="T312" s="631"/>
      <c r="U312" s="631"/>
      <c r="V312" s="33"/>
      <c r="W312" s="624">
        <f>TROutStart*(1+COLA/100)*(1+COLA/100)*(1+COLA/100)*(1+COLA/100)*(1+COLA/100)*(1+COLA/100)*(1+COLA/100)</f>
        <v>568.32471321283265</v>
      </c>
      <c r="X312" s="624"/>
      <c r="Y312" s="624"/>
      <c r="Z312" s="33"/>
      <c r="AA312" s="632">
        <f t="shared" si="48"/>
        <v>5115</v>
      </c>
      <c r="AB312" s="632"/>
      <c r="AC312" s="632"/>
      <c r="AD312" s="632"/>
      <c r="AE312" s="632"/>
      <c r="AF312" s="33"/>
      <c r="AG312" s="33" t="str">
        <f t="shared" si="49"/>
        <v>Fall 2027 ~ ACAD YR 2028</v>
      </c>
      <c r="AH312" s="33"/>
      <c r="AI312" s="33"/>
      <c r="AJ312" s="33"/>
      <c r="AK312" s="33"/>
      <c r="AL312" s="33"/>
      <c r="AM312" s="33"/>
      <c r="AN312" s="33"/>
      <c r="AO312" s="33"/>
      <c r="AP312" s="33"/>
      <c r="AQ312" s="33"/>
      <c r="AR312" s="33"/>
      <c r="AS312" s="33"/>
      <c r="AT312" s="33"/>
      <c r="AU312" s="634">
        <f t="shared" si="50"/>
        <v>46631</v>
      </c>
      <c r="AV312" s="632"/>
      <c r="AW312" s="632"/>
      <c r="AX312" s="632"/>
      <c r="AY312" s="632"/>
      <c r="AZ312" s="632"/>
      <c r="BA312" s="632"/>
      <c r="BB312" s="33"/>
      <c r="BC312" s="634">
        <f>EOMONTH(AU312,3)</f>
        <v>46752</v>
      </c>
      <c r="BD312" s="634"/>
      <c r="BE312" s="634"/>
      <c r="BF312" s="634"/>
      <c r="BG312" s="634"/>
      <c r="BH312" s="634"/>
      <c r="BI312" s="634"/>
      <c r="BJ312" s="33"/>
      <c r="BK312" s="79">
        <f t="shared" si="51"/>
        <v>0</v>
      </c>
      <c r="BL312" s="33"/>
      <c r="BM312" s="101" t="str">
        <f t="shared" si="52"/>
        <v/>
      </c>
      <c r="BN312" s="99"/>
      <c r="BO312" s="99"/>
      <c r="BP312" s="33"/>
      <c r="BQ312" s="101"/>
      <c r="BR312" s="101"/>
      <c r="BS312" s="101"/>
      <c r="BT312" s="33"/>
      <c r="BU312" s="102"/>
      <c r="BV312" s="102"/>
      <c r="BW312" s="102"/>
      <c r="BX312" s="33"/>
      <c r="BY312" s="103"/>
      <c r="BZ312" s="103"/>
      <c r="CA312" s="103"/>
      <c r="CB312" s="33"/>
      <c r="CC312" s="79"/>
      <c r="CD312" s="79"/>
      <c r="CE312" s="79"/>
      <c r="CF312" s="79"/>
      <c r="CG312" s="79"/>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row>
    <row r="313" spans="5:109" hidden="1" x14ac:dyDescent="0.3">
      <c r="E313" s="76" t="s">
        <v>184</v>
      </c>
      <c r="F313" s="32"/>
      <c r="G313" s="77" t="str">
        <f t="shared" si="47"/>
        <v>Spring</v>
      </c>
      <c r="H313" s="32"/>
      <c r="I313" s="32"/>
      <c r="J313" s="32"/>
      <c r="K313" s="622">
        <f>K312+1</f>
        <v>2028</v>
      </c>
      <c r="L313" s="622"/>
      <c r="M313" s="622"/>
      <c r="N313" s="32"/>
      <c r="O313" s="622">
        <f>O312</f>
        <v>2028</v>
      </c>
      <c r="P313" s="622"/>
      <c r="Q313" s="622"/>
      <c r="R313" s="32"/>
      <c r="S313" s="623">
        <v>9</v>
      </c>
      <c r="T313" s="623"/>
      <c r="U313" s="623"/>
      <c r="V313" s="32"/>
      <c r="W313" s="624">
        <f>TROutStart*(1+COLA/100)*(1+COLA/100)*(1+COLA/100)*(1+COLA/100)*(1+COLA/100)*(1+COLA/100)*(1+COLA/100)</f>
        <v>568.32471321283265</v>
      </c>
      <c r="X313" s="624"/>
      <c r="Y313" s="624"/>
      <c r="Z313" s="32"/>
      <c r="AA313" s="625">
        <f t="shared" si="48"/>
        <v>5115</v>
      </c>
      <c r="AB313" s="625"/>
      <c r="AC313" s="625"/>
      <c r="AD313" s="625"/>
      <c r="AE313" s="625"/>
      <c r="AF313" s="32"/>
      <c r="AG313" s="32" t="str">
        <f t="shared" si="49"/>
        <v>Spring 2028 ~ ACAD YR 2028</v>
      </c>
      <c r="AH313" s="32"/>
      <c r="AI313" s="32"/>
      <c r="AJ313" s="32"/>
      <c r="AK313" s="32"/>
      <c r="AL313" s="32"/>
      <c r="AM313" s="32"/>
      <c r="AN313" s="32"/>
      <c r="AO313" s="32"/>
      <c r="AP313" s="32"/>
      <c r="AQ313" s="32"/>
      <c r="AR313" s="32"/>
      <c r="AS313" s="32"/>
      <c r="AT313" s="32"/>
      <c r="AU313" s="626">
        <f t="shared" si="50"/>
        <v>46753</v>
      </c>
      <c r="AV313" s="625"/>
      <c r="AW313" s="625"/>
      <c r="AX313" s="625"/>
      <c r="AY313" s="625"/>
      <c r="AZ313" s="625"/>
      <c r="BA313" s="625"/>
      <c r="BB313" s="32"/>
      <c r="BC313" s="626">
        <f>EDATE(AU311,12)-1</f>
        <v>46889</v>
      </c>
      <c r="BD313" s="625"/>
      <c r="BE313" s="625"/>
      <c r="BF313" s="625"/>
      <c r="BG313" s="625"/>
      <c r="BH313" s="625"/>
      <c r="BI313" s="625"/>
      <c r="BJ313" s="33"/>
      <c r="BK313" s="79">
        <f t="shared" si="51"/>
        <v>0</v>
      </c>
      <c r="BL313" s="33"/>
      <c r="BM313" s="101" t="str">
        <f t="shared" si="52"/>
        <v/>
      </c>
      <c r="BN313" s="101"/>
      <c r="BO313" s="101"/>
      <c r="BP313" s="33"/>
      <c r="BQ313" s="101"/>
      <c r="BR313" s="101"/>
      <c r="BS313" s="101"/>
      <c r="BT313" s="33"/>
      <c r="BU313" s="100"/>
      <c r="BV313" s="100"/>
      <c r="BW313" s="100"/>
      <c r="BX313" s="33"/>
      <c r="BY313" s="103"/>
      <c r="BZ313" s="103"/>
      <c r="CA313" s="103"/>
      <c r="CB313" s="33"/>
      <c r="CC313" s="79"/>
      <c r="CD313" s="79"/>
      <c r="CE313" s="79"/>
      <c r="CF313" s="79"/>
      <c r="CG313" s="79"/>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row>
    <row r="314" spans="5:109" hidden="1" x14ac:dyDescent="0.3"/>
  </sheetData>
  <sheetProtection selectLockedCells="1"/>
  <sortState xmlns:xlrd2="http://schemas.microsoft.com/office/spreadsheetml/2017/richdata2" ref="K165:K235">
    <sortCondition ref="K165"/>
  </sortState>
  <mergeCells count="376">
    <mergeCell ref="AI286:AQ286"/>
    <mergeCell ref="K310:M310"/>
    <mergeCell ref="O310:Q310"/>
    <mergeCell ref="S310:U310"/>
    <mergeCell ref="W310:Y310"/>
    <mergeCell ref="AA310:AE310"/>
    <mergeCell ref="AU310:BA310"/>
    <mergeCell ref="BC310:BI310"/>
    <mergeCell ref="K308:M308"/>
    <mergeCell ref="O308:Q308"/>
    <mergeCell ref="S308:U308"/>
    <mergeCell ref="W308:Y308"/>
    <mergeCell ref="AA308:AE308"/>
    <mergeCell ref="AU308:BA308"/>
    <mergeCell ref="BC308:BI308"/>
    <mergeCell ref="K309:M309"/>
    <mergeCell ref="O309:Q309"/>
    <mergeCell ref="S309:U309"/>
    <mergeCell ref="W309:Y309"/>
    <mergeCell ref="AA309:AE309"/>
    <mergeCell ref="AU309:BA309"/>
    <mergeCell ref="BC309:BI309"/>
    <mergeCell ref="AU304:BA304"/>
    <mergeCell ref="BC304:BI304"/>
    <mergeCell ref="AU305:BA305"/>
    <mergeCell ref="BC305:BI305"/>
    <mergeCell ref="AU306:BA306"/>
    <mergeCell ref="BC306:BI306"/>
    <mergeCell ref="AU307:BA307"/>
    <mergeCell ref="BC307:BI307"/>
    <mergeCell ref="AU299:BA299"/>
    <mergeCell ref="BC299:BI299"/>
    <mergeCell ref="AU300:BA300"/>
    <mergeCell ref="BC300:BI300"/>
    <mergeCell ref="AU301:BA301"/>
    <mergeCell ref="BC301:BI301"/>
    <mergeCell ref="AU302:BA302"/>
    <mergeCell ref="BC302:BI302"/>
    <mergeCell ref="AU303:BA303"/>
    <mergeCell ref="BC303:BI303"/>
    <mergeCell ref="AU294:BA294"/>
    <mergeCell ref="BC294:BI294"/>
    <mergeCell ref="AU295:BA295"/>
    <mergeCell ref="BC295:BI295"/>
    <mergeCell ref="AU296:BA296"/>
    <mergeCell ref="BC296:BI296"/>
    <mergeCell ref="AU297:BA297"/>
    <mergeCell ref="BC297:BI297"/>
    <mergeCell ref="AU298:BA298"/>
    <mergeCell ref="BC298:BI298"/>
    <mergeCell ref="AU290:BA290"/>
    <mergeCell ref="AU291:BA291"/>
    <mergeCell ref="BC291:BI291"/>
    <mergeCell ref="AU292:BA292"/>
    <mergeCell ref="BC292:BI292"/>
    <mergeCell ref="BC290:BI290"/>
    <mergeCell ref="AU293:BA293"/>
    <mergeCell ref="BC293:BI293"/>
    <mergeCell ref="W307:Y307"/>
    <mergeCell ref="AA298:AE298"/>
    <mergeCell ref="AA299:AE299"/>
    <mergeCell ref="AA300:AE300"/>
    <mergeCell ref="AA301:AE301"/>
    <mergeCell ref="AA302:AE302"/>
    <mergeCell ref="AA303:AE303"/>
    <mergeCell ref="AA304:AE304"/>
    <mergeCell ref="AA305:AE305"/>
    <mergeCell ref="AA306:AE306"/>
    <mergeCell ref="AA307:AE307"/>
    <mergeCell ref="W293:Y293"/>
    <mergeCell ref="W294:Y294"/>
    <mergeCell ref="W295:Y295"/>
    <mergeCell ref="W296:Y296"/>
    <mergeCell ref="W297:Y297"/>
    <mergeCell ref="AA289:AE289"/>
    <mergeCell ref="AA290:AE290"/>
    <mergeCell ref="AA291:AE291"/>
    <mergeCell ref="AA292:AE292"/>
    <mergeCell ref="AA293:AE293"/>
    <mergeCell ref="AA294:AE294"/>
    <mergeCell ref="AA295:AE295"/>
    <mergeCell ref="AA296:AE296"/>
    <mergeCell ref="AA297:AE297"/>
    <mergeCell ref="AI28:AK28"/>
    <mergeCell ref="AS36:AU36"/>
    <mergeCell ref="B14:BC16"/>
    <mergeCell ref="AY18:BA18"/>
    <mergeCell ref="S20:W20"/>
    <mergeCell ref="AI20:AW20"/>
    <mergeCell ref="S22:W22"/>
    <mergeCell ref="AI22:AK24"/>
    <mergeCell ref="AM22:AO22"/>
    <mergeCell ref="AY22:BA22"/>
    <mergeCell ref="S24:W24"/>
    <mergeCell ref="AY24:BC24"/>
    <mergeCell ref="E34:G34"/>
    <mergeCell ref="I34:M34"/>
    <mergeCell ref="O34:W34"/>
    <mergeCell ref="S28:W28"/>
    <mergeCell ref="AS41:AU41"/>
    <mergeCell ref="AS42:AU42"/>
    <mergeCell ref="AS37:AU37"/>
    <mergeCell ref="AS38:AU38"/>
    <mergeCell ref="AS39:AU39"/>
    <mergeCell ref="AS40:AU40"/>
    <mergeCell ref="E42:G42"/>
    <mergeCell ref="I42:M42"/>
    <mergeCell ref="E44:G44"/>
    <mergeCell ref="I44:M44"/>
    <mergeCell ref="E46:G46"/>
    <mergeCell ref="I46:M46"/>
    <mergeCell ref="E36:G36"/>
    <mergeCell ref="I36:M36"/>
    <mergeCell ref="E38:G38"/>
    <mergeCell ref="I38:M38"/>
    <mergeCell ref="E40:G40"/>
    <mergeCell ref="I40:M40"/>
    <mergeCell ref="E54:G54"/>
    <mergeCell ref="I54:M54"/>
    <mergeCell ref="E56:G56"/>
    <mergeCell ref="I56:M56"/>
    <mergeCell ref="AY56:BA56"/>
    <mergeCell ref="AG60:AY60"/>
    <mergeCell ref="E48:G48"/>
    <mergeCell ref="I48:M48"/>
    <mergeCell ref="E50:G50"/>
    <mergeCell ref="I50:M50"/>
    <mergeCell ref="E52:G52"/>
    <mergeCell ref="I52:M52"/>
    <mergeCell ref="O72:W72"/>
    <mergeCell ref="O74:AI74"/>
    <mergeCell ref="O76:W76"/>
    <mergeCell ref="AA76:AI76"/>
    <mergeCell ref="O78:W78"/>
    <mergeCell ref="AA78:AI78"/>
    <mergeCell ref="O62:W62"/>
    <mergeCell ref="AM62:AU62"/>
    <mergeCell ref="O64:W64"/>
    <mergeCell ref="O66:AI66"/>
    <mergeCell ref="O68:W68"/>
    <mergeCell ref="O70:W70"/>
    <mergeCell ref="AE70:AG70"/>
    <mergeCell ref="O88:W88"/>
    <mergeCell ref="AA88:AI88"/>
    <mergeCell ref="O90:AI90"/>
    <mergeCell ref="O92:W92"/>
    <mergeCell ref="AA92:AI92"/>
    <mergeCell ref="O94:W94"/>
    <mergeCell ref="AA94:AI94"/>
    <mergeCell ref="O80:W80"/>
    <mergeCell ref="AA80:AI80"/>
    <mergeCell ref="O82:AI82"/>
    <mergeCell ref="O84:W84"/>
    <mergeCell ref="AA84:AI84"/>
    <mergeCell ref="O86:W86"/>
    <mergeCell ref="AA86:AI86"/>
    <mergeCell ref="O104:W104"/>
    <mergeCell ref="AA104:AI104"/>
    <mergeCell ref="O106:AI106"/>
    <mergeCell ref="O108:W108"/>
    <mergeCell ref="O110:W110"/>
    <mergeCell ref="O112:W112"/>
    <mergeCell ref="O96:W96"/>
    <mergeCell ref="AA96:AI96"/>
    <mergeCell ref="O98:AI98"/>
    <mergeCell ref="O100:W100"/>
    <mergeCell ref="AA100:AI100"/>
    <mergeCell ref="O102:W102"/>
    <mergeCell ref="AA102:AI102"/>
    <mergeCell ref="C123:I123"/>
    <mergeCell ref="U123:AA123"/>
    <mergeCell ref="AM123:AS123"/>
    <mergeCell ref="C124:I124"/>
    <mergeCell ref="U124:AA124"/>
    <mergeCell ref="AM124:AS124"/>
    <mergeCell ref="C117:I117"/>
    <mergeCell ref="U117:AA117"/>
    <mergeCell ref="C119:Q119"/>
    <mergeCell ref="U119:AI119"/>
    <mergeCell ref="AM119:BA119"/>
    <mergeCell ref="C122:I122"/>
    <mergeCell ref="U122:AA122"/>
    <mergeCell ref="AM122:AS122"/>
    <mergeCell ref="C127:I127"/>
    <mergeCell ref="U127:AA127"/>
    <mergeCell ref="AM127:AS127"/>
    <mergeCell ref="C129:I129"/>
    <mergeCell ref="U129:AA129"/>
    <mergeCell ref="AM129:AS129"/>
    <mergeCell ref="C125:I125"/>
    <mergeCell ref="U125:AA125"/>
    <mergeCell ref="AM125:AS125"/>
    <mergeCell ref="C126:I126"/>
    <mergeCell ref="U126:AA126"/>
    <mergeCell ref="AM126:AS126"/>
    <mergeCell ref="C132:I132"/>
    <mergeCell ref="U132:AA132"/>
    <mergeCell ref="AM132:AS132"/>
    <mergeCell ref="C133:I133"/>
    <mergeCell ref="U133:AA133"/>
    <mergeCell ref="AM133:AS133"/>
    <mergeCell ref="C130:I130"/>
    <mergeCell ref="U130:AA130"/>
    <mergeCell ref="AM130:AS130"/>
    <mergeCell ref="C131:I131"/>
    <mergeCell ref="U131:AA131"/>
    <mergeCell ref="AM131:AS131"/>
    <mergeCell ref="C143:I143"/>
    <mergeCell ref="U143:AA143"/>
    <mergeCell ref="AM143:AS143"/>
    <mergeCell ref="C144:I144"/>
    <mergeCell ref="U144:AA144"/>
    <mergeCell ref="AM144:AS144"/>
    <mergeCell ref="C134:I134"/>
    <mergeCell ref="U134:AA134"/>
    <mergeCell ref="AM134:AS134"/>
    <mergeCell ref="C140:Q140"/>
    <mergeCell ref="U140:AI140"/>
    <mergeCell ref="AM140:BA140"/>
    <mergeCell ref="AM151:AS151"/>
    <mergeCell ref="C147:I147"/>
    <mergeCell ref="U147:AA147"/>
    <mergeCell ref="AM147:AS147"/>
    <mergeCell ref="C148:I148"/>
    <mergeCell ref="U148:AA148"/>
    <mergeCell ref="AM148:AS148"/>
    <mergeCell ref="C145:I145"/>
    <mergeCell ref="U145:AA145"/>
    <mergeCell ref="AM145:AS145"/>
    <mergeCell ref="C146:I146"/>
    <mergeCell ref="U146:AA146"/>
    <mergeCell ref="AM146:AS146"/>
    <mergeCell ref="AM156:AS156"/>
    <mergeCell ref="K3:BB3"/>
    <mergeCell ref="M5:AA5"/>
    <mergeCell ref="AF5:BB5"/>
    <mergeCell ref="I7:S7"/>
    <mergeCell ref="I9:S9"/>
    <mergeCell ref="AC5:AE5"/>
    <mergeCell ref="C154:I154"/>
    <mergeCell ref="U154:AA154"/>
    <mergeCell ref="AM154:AS154"/>
    <mergeCell ref="C155:I155"/>
    <mergeCell ref="U155:AA155"/>
    <mergeCell ref="AM155:AS155"/>
    <mergeCell ref="C152:I152"/>
    <mergeCell ref="U152:AA152"/>
    <mergeCell ref="AM152:AS152"/>
    <mergeCell ref="C153:I153"/>
    <mergeCell ref="U153:AA153"/>
    <mergeCell ref="AM153:AS153"/>
    <mergeCell ref="C150:I150"/>
    <mergeCell ref="U150:AA150"/>
    <mergeCell ref="AM150:AS150"/>
    <mergeCell ref="C151:I151"/>
    <mergeCell ref="U151:AA151"/>
    <mergeCell ref="I275:O275"/>
    <mergeCell ref="I276:O276"/>
    <mergeCell ref="I277:O277"/>
    <mergeCell ref="I278:O278"/>
    <mergeCell ref="AC269:AE269"/>
    <mergeCell ref="AC270:AE270"/>
    <mergeCell ref="AC271:AE271"/>
    <mergeCell ref="I269:O269"/>
    <mergeCell ref="I270:O270"/>
    <mergeCell ref="I271:O271"/>
    <mergeCell ref="I272:O272"/>
    <mergeCell ref="I273:O273"/>
    <mergeCell ref="I274:O274"/>
    <mergeCell ref="AC272:AE272"/>
    <mergeCell ref="U272:AA272"/>
    <mergeCell ref="K293:M293"/>
    <mergeCell ref="K294:M294"/>
    <mergeCell ref="K295:M295"/>
    <mergeCell ref="C283:G283"/>
    <mergeCell ref="I283:K283"/>
    <mergeCell ref="C280:G280"/>
    <mergeCell ref="C281:G281"/>
    <mergeCell ref="C282:G282"/>
    <mergeCell ref="I282:K282"/>
    <mergeCell ref="I281:K281"/>
    <mergeCell ref="I280:K280"/>
    <mergeCell ref="C284:G284"/>
    <mergeCell ref="I284:K284"/>
    <mergeCell ref="C285:G285"/>
    <mergeCell ref="I285:K285"/>
    <mergeCell ref="K289:M289"/>
    <mergeCell ref="K303:M303"/>
    <mergeCell ref="K304:M304"/>
    <mergeCell ref="K305:M305"/>
    <mergeCell ref="K306:M306"/>
    <mergeCell ref="K307:M307"/>
    <mergeCell ref="K301:M301"/>
    <mergeCell ref="K297:M297"/>
    <mergeCell ref="K298:M298"/>
    <mergeCell ref="K296:M296"/>
    <mergeCell ref="K300:M300"/>
    <mergeCell ref="K299:M299"/>
    <mergeCell ref="K302:M302"/>
    <mergeCell ref="O289:Q289"/>
    <mergeCell ref="O290:Q290"/>
    <mergeCell ref="O291:Q291"/>
    <mergeCell ref="O292:Q292"/>
    <mergeCell ref="W289:Y289"/>
    <mergeCell ref="W290:Y290"/>
    <mergeCell ref="W291:Y291"/>
    <mergeCell ref="W292:Y292"/>
    <mergeCell ref="K290:M290"/>
    <mergeCell ref="K291:M291"/>
    <mergeCell ref="K292:M292"/>
    <mergeCell ref="S289:U289"/>
    <mergeCell ref="S290:U290"/>
    <mergeCell ref="S291:U291"/>
    <mergeCell ref="S292:U292"/>
    <mergeCell ref="S293:U293"/>
    <mergeCell ref="S294:U294"/>
    <mergeCell ref="S295:U295"/>
    <mergeCell ref="O299:Q299"/>
    <mergeCell ref="O300:Q300"/>
    <mergeCell ref="O293:Q293"/>
    <mergeCell ref="O294:Q294"/>
    <mergeCell ref="O295:Q295"/>
    <mergeCell ref="O296:Q296"/>
    <mergeCell ref="O297:Q297"/>
    <mergeCell ref="O298:Q298"/>
    <mergeCell ref="S296:U296"/>
    <mergeCell ref="S297:U297"/>
    <mergeCell ref="S298:U298"/>
    <mergeCell ref="S299:U299"/>
    <mergeCell ref="S300:U300"/>
    <mergeCell ref="O305:Q305"/>
    <mergeCell ref="O306:Q306"/>
    <mergeCell ref="O307:Q307"/>
    <mergeCell ref="O301:Q301"/>
    <mergeCell ref="O302:Q302"/>
    <mergeCell ref="O303:Q303"/>
    <mergeCell ref="O304:Q304"/>
    <mergeCell ref="S302:U302"/>
    <mergeCell ref="S303:U303"/>
    <mergeCell ref="S304:U304"/>
    <mergeCell ref="S305:U305"/>
    <mergeCell ref="S306:U306"/>
    <mergeCell ref="W299:Y299"/>
    <mergeCell ref="W300:Y300"/>
    <mergeCell ref="W301:Y301"/>
    <mergeCell ref="W302:Y302"/>
    <mergeCell ref="W303:Y303"/>
    <mergeCell ref="W304:Y304"/>
    <mergeCell ref="W305:Y305"/>
    <mergeCell ref="W306:Y306"/>
    <mergeCell ref="S307:U307"/>
    <mergeCell ref="S301:U301"/>
    <mergeCell ref="AC7:AE7"/>
    <mergeCell ref="AF7:BB7"/>
    <mergeCell ref="K313:M313"/>
    <mergeCell ref="O313:Q313"/>
    <mergeCell ref="S313:U313"/>
    <mergeCell ref="W313:Y313"/>
    <mergeCell ref="AA313:AE313"/>
    <mergeCell ref="AU313:BA313"/>
    <mergeCell ref="BC313:BI313"/>
    <mergeCell ref="K311:M311"/>
    <mergeCell ref="O311:Q311"/>
    <mergeCell ref="S311:U311"/>
    <mergeCell ref="W311:Y311"/>
    <mergeCell ref="AA311:AE311"/>
    <mergeCell ref="AU311:BA311"/>
    <mergeCell ref="BC311:BI311"/>
    <mergeCell ref="K312:M312"/>
    <mergeCell ref="O312:Q312"/>
    <mergeCell ref="S312:U312"/>
    <mergeCell ref="W312:Y312"/>
    <mergeCell ref="AA312:AE312"/>
    <mergeCell ref="AU312:BA312"/>
    <mergeCell ref="BC312:BI312"/>
    <mergeCell ref="W298:Y298"/>
  </mergeCells>
  <dataValidations count="1">
    <dataValidation type="list" allowBlank="1" showInputMessage="1" showErrorMessage="1" sqref="M5:AA5" xr:uid="{00000000-0002-0000-0000-000000000000}">
      <formula1>Faculty</formula1>
    </dataValidation>
  </dataValidations>
  <printOptions horizontalCentered="1"/>
  <pageMargins left="0.75" right="0.75" top="1" bottom="1" header="0.5" footer="0.5"/>
  <pageSetup scale="83" orientation="portrait" r:id="rId1"/>
  <headerFooter alignWithMargins="0">
    <oddHeader>&amp;C&amp;F
&amp;A</oddHeader>
    <oddFooter>&amp;L&amp;T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P464"/>
  <sheetViews>
    <sheetView zoomScale="115" zoomScaleNormal="115" workbookViewId="0">
      <pane xSplit="1" ySplit="1" topLeftCell="B2" activePane="bottomRight" state="frozen"/>
      <selection pane="topRight" activeCell="B1" sqref="B1"/>
      <selection pane="bottomLeft" activeCell="A2" sqref="A2"/>
      <selection pane="bottomRight" activeCell="B380" sqref="B380"/>
    </sheetView>
  </sheetViews>
  <sheetFormatPr defaultColWidth="8" defaultRowHeight="13.8" x14ac:dyDescent="0.3"/>
  <cols>
    <col min="1" max="1" width="18.88671875" style="445" bestFit="1" customWidth="1"/>
    <col min="2" max="2" width="26.77734375" style="446" customWidth="1"/>
    <col min="3" max="3" width="6.6640625" style="447" customWidth="1"/>
    <col min="4" max="4" width="7.33203125" style="544" customWidth="1"/>
    <col min="5" max="5" width="10.44140625" style="447" customWidth="1"/>
    <col min="6" max="6" width="9.44140625" style="448" customWidth="1"/>
    <col min="7" max="7" width="9.44140625" style="445" customWidth="1"/>
    <col min="8" max="8" width="10.44140625" style="445" customWidth="1"/>
    <col min="9" max="9" width="8.33203125" style="494" customWidth="1"/>
    <col min="10" max="10" width="22.109375" style="491" customWidth="1"/>
    <col min="11" max="11" width="6.21875" customWidth="1"/>
    <col min="12" max="12" width="27.77734375" style="445" bestFit="1" customWidth="1"/>
    <col min="13" max="16384" width="8" style="445"/>
  </cols>
  <sheetData>
    <row r="1" spans="1:77" s="449" customFormat="1" ht="82.8" x14ac:dyDescent="0.2">
      <c r="A1" s="524" t="s">
        <v>186</v>
      </c>
      <c r="B1" s="524" t="s">
        <v>187</v>
      </c>
      <c r="C1" s="525" t="s">
        <v>188</v>
      </c>
      <c r="D1" s="526" t="s">
        <v>189</v>
      </c>
      <c r="E1" s="527" t="s">
        <v>190</v>
      </c>
      <c r="F1" s="527" t="s">
        <v>191</v>
      </c>
      <c r="G1" s="527" t="s">
        <v>192</v>
      </c>
      <c r="H1" s="528" t="s">
        <v>193</v>
      </c>
      <c r="I1" s="529" t="s">
        <v>194</v>
      </c>
      <c r="J1" s="488" t="s">
        <v>195</v>
      </c>
      <c r="K1"/>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1"/>
      <c r="BI1" s="450"/>
      <c r="BJ1" s="450"/>
      <c r="BK1" s="450"/>
      <c r="BL1" s="450"/>
      <c r="BM1" s="450"/>
      <c r="BN1" s="450"/>
      <c r="BO1" s="450"/>
      <c r="BP1" s="450"/>
      <c r="BQ1" s="450"/>
      <c r="BR1" s="450"/>
      <c r="BS1" s="450"/>
      <c r="BY1" s="452"/>
    </row>
    <row r="2" spans="1:77" s="483" customFormat="1" hidden="1" x14ac:dyDescent="0.3">
      <c r="A2" s="455" t="s">
        <v>196</v>
      </c>
      <c r="B2" s="455" t="s">
        <v>1068</v>
      </c>
      <c r="C2" s="539" t="s">
        <v>197</v>
      </c>
      <c r="D2" s="539">
        <v>8.33</v>
      </c>
      <c r="E2" s="567">
        <v>72839</v>
      </c>
      <c r="F2" s="568">
        <f>ROUND(E2/C2*12,0)</f>
        <v>72839</v>
      </c>
      <c r="G2" s="568">
        <f t="shared" ref="G2:G58" si="0">ROUND(F2*(1+(D2/100)),0)</f>
        <v>78906</v>
      </c>
      <c r="H2" s="568">
        <f t="shared" ref="H2:H12" si="1">ROUND(G2*(1+(COLA/100)),0)</f>
        <v>81273</v>
      </c>
      <c r="I2" s="568">
        <f t="shared" ref="I2:I58" si="2">ROUND(H2/12,0)</f>
        <v>6773</v>
      </c>
      <c r="J2" s="455" t="s">
        <v>198</v>
      </c>
      <c r="K2"/>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5"/>
      <c r="BI2" s="484"/>
      <c r="BJ2" s="484"/>
      <c r="BK2" s="484"/>
      <c r="BL2" s="484"/>
      <c r="BM2" s="484"/>
      <c r="BN2" s="484"/>
      <c r="BO2" s="484"/>
      <c r="BP2" s="484"/>
      <c r="BQ2" s="484"/>
      <c r="BR2" s="484"/>
      <c r="BS2" s="484"/>
      <c r="BY2" s="486"/>
    </row>
    <row r="3" spans="1:77" s="449" customFormat="1" hidden="1" x14ac:dyDescent="0.3">
      <c r="A3" s="455" t="s">
        <v>199</v>
      </c>
      <c r="B3" s="455" t="s">
        <v>124</v>
      </c>
      <c r="C3" s="539" t="s">
        <v>200</v>
      </c>
      <c r="D3" s="539" t="s">
        <v>201</v>
      </c>
      <c r="E3" s="567">
        <v>124185</v>
      </c>
      <c r="F3" s="568">
        <f>ROUND(E3/C3*9,0)</f>
        <v>124185</v>
      </c>
      <c r="G3" s="568">
        <f t="shared" si="0"/>
        <v>124185</v>
      </c>
      <c r="H3" s="568">
        <f t="shared" si="1"/>
        <v>127911</v>
      </c>
      <c r="I3" s="568">
        <f t="shared" si="2"/>
        <v>10659</v>
      </c>
      <c r="J3" s="455" t="s">
        <v>202</v>
      </c>
      <c r="K3"/>
      <c r="L3" s="483"/>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1"/>
      <c r="BI3" s="450"/>
      <c r="BJ3" s="450"/>
      <c r="BK3" s="450"/>
      <c r="BL3" s="450"/>
      <c r="BM3" s="450"/>
      <c r="BN3" s="450"/>
      <c r="BO3" s="450"/>
      <c r="BP3" s="450"/>
      <c r="BQ3" s="450"/>
      <c r="BR3" s="450"/>
      <c r="BS3" s="450"/>
      <c r="BY3" s="452"/>
    </row>
    <row r="4" spans="1:77" s="449" customFormat="1" hidden="1" x14ac:dyDescent="0.3">
      <c r="A4" s="455" t="s">
        <v>203</v>
      </c>
      <c r="B4" s="455" t="s">
        <v>1059</v>
      </c>
      <c r="C4" s="539" t="s">
        <v>200</v>
      </c>
      <c r="D4" s="539" t="s">
        <v>201</v>
      </c>
      <c r="E4" s="567">
        <v>56577</v>
      </c>
      <c r="F4" s="568">
        <f t="shared" ref="F4:F58" si="3">ROUND(E4/C4*12,0)</f>
        <v>75436</v>
      </c>
      <c r="G4" s="568">
        <f t="shared" si="0"/>
        <v>75436</v>
      </c>
      <c r="H4" s="568">
        <f t="shared" si="1"/>
        <v>77699</v>
      </c>
      <c r="I4" s="568">
        <f t="shared" si="2"/>
        <v>6475</v>
      </c>
      <c r="J4" s="455" t="s">
        <v>204</v>
      </c>
      <c r="K4"/>
      <c r="L4" s="483"/>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1"/>
      <c r="BI4" s="450"/>
      <c r="BJ4" s="450"/>
      <c r="BK4" s="450"/>
      <c r="BL4" s="450"/>
      <c r="BM4" s="450"/>
      <c r="BN4" s="450"/>
      <c r="BO4" s="450"/>
      <c r="BP4" s="450"/>
      <c r="BQ4" s="450"/>
      <c r="BR4" s="450"/>
      <c r="BS4" s="450"/>
      <c r="BY4" s="452"/>
    </row>
    <row r="5" spans="1:77" hidden="1" x14ac:dyDescent="0.3">
      <c r="A5" s="455" t="s">
        <v>205</v>
      </c>
      <c r="B5" s="455" t="s">
        <v>1064</v>
      </c>
      <c r="C5" s="539" t="s">
        <v>197</v>
      </c>
      <c r="D5" s="539">
        <v>8.33</v>
      </c>
      <c r="E5" s="567">
        <v>69984</v>
      </c>
      <c r="F5" s="568">
        <v>68612.009999999995</v>
      </c>
      <c r="G5" s="568">
        <f t="shared" si="0"/>
        <v>74327</v>
      </c>
      <c r="H5" s="568">
        <f t="shared" si="1"/>
        <v>76557</v>
      </c>
      <c r="I5" s="568">
        <f t="shared" si="2"/>
        <v>6380</v>
      </c>
      <c r="J5" s="455" t="s">
        <v>206</v>
      </c>
    </row>
    <row r="6" spans="1:77" hidden="1" x14ac:dyDescent="0.3">
      <c r="A6" s="455" t="s">
        <v>207</v>
      </c>
      <c r="B6" s="455" t="s">
        <v>129</v>
      </c>
      <c r="C6" s="539" t="s">
        <v>200</v>
      </c>
      <c r="D6" s="539" t="s">
        <v>201</v>
      </c>
      <c r="E6" s="567">
        <v>97584</v>
      </c>
      <c r="F6" s="568">
        <f t="shared" si="3"/>
        <v>130112</v>
      </c>
      <c r="G6" s="568">
        <f t="shared" si="0"/>
        <v>130112</v>
      </c>
      <c r="H6" s="568">
        <f t="shared" si="1"/>
        <v>134015</v>
      </c>
      <c r="I6" s="568">
        <f t="shared" si="2"/>
        <v>11168</v>
      </c>
      <c r="J6" s="455" t="s">
        <v>202</v>
      </c>
    </row>
    <row r="7" spans="1:77" hidden="1" x14ac:dyDescent="0.3">
      <c r="A7" s="455" t="s">
        <v>208</v>
      </c>
      <c r="B7" s="455" t="s">
        <v>125</v>
      </c>
      <c r="C7" s="539" t="s">
        <v>200</v>
      </c>
      <c r="D7" s="539" t="s">
        <v>201</v>
      </c>
      <c r="E7" s="567">
        <v>75807</v>
      </c>
      <c r="F7" s="568">
        <f t="shared" si="3"/>
        <v>101076</v>
      </c>
      <c r="G7" s="568">
        <f t="shared" si="0"/>
        <v>101076</v>
      </c>
      <c r="H7" s="568">
        <f t="shared" si="1"/>
        <v>104108</v>
      </c>
      <c r="I7" s="568">
        <f t="shared" si="2"/>
        <v>8676</v>
      </c>
      <c r="J7" s="455" t="s">
        <v>209</v>
      </c>
    </row>
    <row r="8" spans="1:77" hidden="1" x14ac:dyDescent="0.3">
      <c r="A8" s="455" t="s">
        <v>210</v>
      </c>
      <c r="B8" s="455" t="s">
        <v>143</v>
      </c>
      <c r="C8" s="539" t="s">
        <v>197</v>
      </c>
      <c r="D8" s="539">
        <v>8.33</v>
      </c>
      <c r="E8" s="567">
        <v>116078</v>
      </c>
      <c r="F8" s="568">
        <f t="shared" si="3"/>
        <v>116078</v>
      </c>
      <c r="G8" s="568">
        <f t="shared" si="0"/>
        <v>125747</v>
      </c>
      <c r="H8" s="568">
        <f t="shared" si="1"/>
        <v>129519</v>
      </c>
      <c r="I8" s="568">
        <f t="shared" si="2"/>
        <v>10793</v>
      </c>
      <c r="J8" s="455" t="s">
        <v>211</v>
      </c>
    </row>
    <row r="9" spans="1:77" hidden="1" x14ac:dyDescent="0.3">
      <c r="A9" s="455" t="s">
        <v>212</v>
      </c>
      <c r="B9" s="455" t="s">
        <v>104</v>
      </c>
      <c r="C9" s="539" t="s">
        <v>197</v>
      </c>
      <c r="D9" s="539">
        <v>6.12</v>
      </c>
      <c r="E9" s="567">
        <v>48676</v>
      </c>
      <c r="F9" s="568">
        <f t="shared" si="3"/>
        <v>48676</v>
      </c>
      <c r="G9" s="568">
        <f t="shared" si="0"/>
        <v>51655</v>
      </c>
      <c r="H9" s="568">
        <f t="shared" si="1"/>
        <v>53205</v>
      </c>
      <c r="I9" s="568">
        <f t="shared" si="2"/>
        <v>4434</v>
      </c>
      <c r="J9" s="455" t="s">
        <v>213</v>
      </c>
    </row>
    <row r="10" spans="1:77" hidden="1" x14ac:dyDescent="0.3">
      <c r="A10" s="455" t="s">
        <v>214</v>
      </c>
      <c r="B10" s="455" t="s">
        <v>110</v>
      </c>
      <c r="C10" s="539" t="s">
        <v>197</v>
      </c>
      <c r="D10" s="539">
        <v>8.33</v>
      </c>
      <c r="E10" s="567">
        <v>85604</v>
      </c>
      <c r="F10" s="568">
        <f t="shared" si="3"/>
        <v>85604</v>
      </c>
      <c r="G10" s="568">
        <f t="shared" si="0"/>
        <v>92735</v>
      </c>
      <c r="H10" s="568">
        <f t="shared" si="1"/>
        <v>95517</v>
      </c>
      <c r="I10" s="568">
        <f t="shared" si="2"/>
        <v>7960</v>
      </c>
      <c r="J10" s="455" t="s">
        <v>215</v>
      </c>
    </row>
    <row r="11" spans="1:77" hidden="1" x14ac:dyDescent="0.3">
      <c r="A11" s="455" t="s">
        <v>216</v>
      </c>
      <c r="B11" s="455" t="s">
        <v>117</v>
      </c>
      <c r="C11" s="539" t="s">
        <v>197</v>
      </c>
      <c r="D11" s="539">
        <v>6.12</v>
      </c>
      <c r="E11" s="567">
        <v>180000</v>
      </c>
      <c r="F11" s="569">
        <f t="shared" si="3"/>
        <v>180000</v>
      </c>
      <c r="G11" s="569">
        <f t="shared" si="0"/>
        <v>191016</v>
      </c>
      <c r="H11" s="569">
        <f t="shared" si="1"/>
        <v>196746</v>
      </c>
      <c r="I11" s="569">
        <f t="shared" si="2"/>
        <v>16396</v>
      </c>
      <c r="J11" s="455" t="s">
        <v>217</v>
      </c>
    </row>
    <row r="12" spans="1:77" hidden="1" x14ac:dyDescent="0.3">
      <c r="A12" s="455" t="s">
        <v>218</v>
      </c>
      <c r="B12" s="455" t="s">
        <v>129</v>
      </c>
      <c r="C12" s="539" t="s">
        <v>200</v>
      </c>
      <c r="D12" s="539" t="s">
        <v>201</v>
      </c>
      <c r="E12" s="567">
        <v>78467</v>
      </c>
      <c r="F12" s="568">
        <f t="shared" si="3"/>
        <v>104623</v>
      </c>
      <c r="G12" s="568">
        <f t="shared" si="0"/>
        <v>104623</v>
      </c>
      <c r="H12" s="568">
        <f t="shared" si="1"/>
        <v>107762</v>
      </c>
      <c r="I12" s="568">
        <f t="shared" si="2"/>
        <v>8980</v>
      </c>
      <c r="J12" s="455" t="s">
        <v>219</v>
      </c>
    </row>
    <row r="13" spans="1:77" hidden="1" x14ac:dyDescent="0.3">
      <c r="A13" s="455" t="s">
        <v>220</v>
      </c>
      <c r="B13" s="455" t="s">
        <v>1069</v>
      </c>
      <c r="C13" s="539" t="s">
        <v>197</v>
      </c>
      <c r="D13" s="539">
        <v>6.12</v>
      </c>
      <c r="E13" s="567">
        <v>25127.360000000001</v>
      </c>
      <c r="F13" s="568">
        <f t="shared" si="3"/>
        <v>25127</v>
      </c>
      <c r="G13" s="568">
        <f t="shared" si="0"/>
        <v>26665</v>
      </c>
      <c r="H13" s="568">
        <f t="shared" ref="H13:H70" si="4">ROUND(G13*(1+(COLA/100)),0)</f>
        <v>27465</v>
      </c>
      <c r="I13" s="568">
        <f t="shared" si="2"/>
        <v>2289</v>
      </c>
      <c r="J13" s="455" t="s">
        <v>221</v>
      </c>
    </row>
    <row r="14" spans="1:77" hidden="1" x14ac:dyDescent="0.3">
      <c r="A14" s="455" t="s">
        <v>222</v>
      </c>
      <c r="B14" s="455" t="s">
        <v>119</v>
      </c>
      <c r="C14" s="539" t="s">
        <v>200</v>
      </c>
      <c r="D14" s="539" t="s">
        <v>201</v>
      </c>
      <c r="E14" s="567">
        <v>66013</v>
      </c>
      <c r="F14" s="568">
        <f t="shared" si="3"/>
        <v>88017</v>
      </c>
      <c r="G14" s="568">
        <f t="shared" si="0"/>
        <v>88017</v>
      </c>
      <c r="H14" s="568">
        <f t="shared" si="4"/>
        <v>90658</v>
      </c>
      <c r="I14" s="568">
        <f t="shared" si="2"/>
        <v>7555</v>
      </c>
      <c r="J14" s="455" t="s">
        <v>219</v>
      </c>
    </row>
    <row r="15" spans="1:77" hidden="1" x14ac:dyDescent="0.3">
      <c r="A15" s="455" t="s">
        <v>223</v>
      </c>
      <c r="B15" s="455" t="s">
        <v>107</v>
      </c>
      <c r="C15" s="539" t="s">
        <v>200</v>
      </c>
      <c r="D15" s="539" t="s">
        <v>201</v>
      </c>
      <c r="E15" s="567">
        <v>68415</v>
      </c>
      <c r="F15" s="568">
        <f t="shared" si="3"/>
        <v>91220</v>
      </c>
      <c r="G15" s="568">
        <f t="shared" si="0"/>
        <v>91220</v>
      </c>
      <c r="H15" s="568">
        <f t="shared" si="4"/>
        <v>93957</v>
      </c>
      <c r="I15" s="568">
        <f t="shared" si="2"/>
        <v>7830</v>
      </c>
      <c r="J15" s="455" t="s">
        <v>219</v>
      </c>
    </row>
    <row r="16" spans="1:77" hidden="1" x14ac:dyDescent="0.3">
      <c r="A16" s="455" t="s">
        <v>224</v>
      </c>
      <c r="B16" s="455" t="s">
        <v>124</v>
      </c>
      <c r="C16" s="539" t="s">
        <v>200</v>
      </c>
      <c r="D16" s="539" t="s">
        <v>201</v>
      </c>
      <c r="E16" s="567">
        <v>92338</v>
      </c>
      <c r="F16" s="568">
        <f>ROUND(E16/C16*12,0)</f>
        <v>123117</v>
      </c>
      <c r="G16" s="568">
        <f t="shared" si="0"/>
        <v>123117</v>
      </c>
      <c r="H16" s="568">
        <f t="shared" si="4"/>
        <v>126811</v>
      </c>
      <c r="I16" s="568">
        <f t="shared" si="2"/>
        <v>10568</v>
      </c>
      <c r="J16" s="455" t="s">
        <v>225</v>
      </c>
    </row>
    <row r="17" spans="1:10" hidden="1" x14ac:dyDescent="0.3">
      <c r="A17" s="455" t="s">
        <v>226</v>
      </c>
      <c r="B17" s="455" t="s">
        <v>134</v>
      </c>
      <c r="C17" s="539" t="s">
        <v>200</v>
      </c>
      <c r="D17" s="539" t="s">
        <v>201</v>
      </c>
      <c r="E17" s="567">
        <v>84303</v>
      </c>
      <c r="F17" s="568">
        <f t="shared" si="3"/>
        <v>112404</v>
      </c>
      <c r="G17" s="568">
        <f t="shared" si="0"/>
        <v>112404</v>
      </c>
      <c r="H17" s="568">
        <f t="shared" si="4"/>
        <v>115776</v>
      </c>
      <c r="I17" s="568">
        <f t="shared" si="2"/>
        <v>9648</v>
      </c>
      <c r="J17" s="455" t="s">
        <v>225</v>
      </c>
    </row>
    <row r="18" spans="1:10" hidden="1" x14ac:dyDescent="0.3">
      <c r="A18" s="455" t="s">
        <v>227</v>
      </c>
      <c r="B18" s="455" t="s">
        <v>117</v>
      </c>
      <c r="C18" s="539" t="s">
        <v>200</v>
      </c>
      <c r="D18" s="539" t="s">
        <v>201</v>
      </c>
      <c r="E18" s="567">
        <v>85714</v>
      </c>
      <c r="F18" s="569">
        <f t="shared" si="3"/>
        <v>114285</v>
      </c>
      <c r="G18" s="569">
        <f t="shared" si="0"/>
        <v>114285</v>
      </c>
      <c r="H18" s="569">
        <f t="shared" si="4"/>
        <v>117714</v>
      </c>
      <c r="I18" s="569">
        <f t="shared" si="2"/>
        <v>9810</v>
      </c>
      <c r="J18" s="455" t="s">
        <v>219</v>
      </c>
    </row>
    <row r="19" spans="1:10" hidden="1" x14ac:dyDescent="0.3">
      <c r="A19" s="455" t="s">
        <v>228</v>
      </c>
      <c r="B19" s="455" t="s">
        <v>1069</v>
      </c>
      <c r="C19" s="539" t="s">
        <v>197</v>
      </c>
      <c r="D19" s="539">
        <v>6.12</v>
      </c>
      <c r="E19" s="567">
        <v>49994</v>
      </c>
      <c r="F19" s="568">
        <f t="shared" si="3"/>
        <v>49994</v>
      </c>
      <c r="G19" s="568">
        <f t="shared" si="0"/>
        <v>53054</v>
      </c>
      <c r="H19" s="568">
        <f t="shared" si="4"/>
        <v>54646</v>
      </c>
      <c r="I19" s="568">
        <f t="shared" si="2"/>
        <v>4554</v>
      </c>
      <c r="J19" s="455" t="s">
        <v>229</v>
      </c>
    </row>
    <row r="20" spans="1:10" hidden="1" x14ac:dyDescent="0.3">
      <c r="A20" s="455" t="s">
        <v>230</v>
      </c>
      <c r="B20" s="455" t="s">
        <v>1069</v>
      </c>
      <c r="C20" s="539" t="s">
        <v>197</v>
      </c>
      <c r="D20" s="539">
        <v>6.12</v>
      </c>
      <c r="E20" s="567">
        <v>33641.03</v>
      </c>
      <c r="F20" s="568">
        <f t="shared" si="3"/>
        <v>33641</v>
      </c>
      <c r="G20" s="568">
        <f t="shared" si="0"/>
        <v>35700</v>
      </c>
      <c r="H20" s="568">
        <f t="shared" si="4"/>
        <v>36771</v>
      </c>
      <c r="I20" s="568">
        <f t="shared" si="2"/>
        <v>3064</v>
      </c>
      <c r="J20" s="455" t="s">
        <v>231</v>
      </c>
    </row>
    <row r="21" spans="1:10" hidden="1" x14ac:dyDescent="0.3">
      <c r="A21" s="455" t="s">
        <v>232</v>
      </c>
      <c r="B21" s="455" t="s">
        <v>104</v>
      </c>
      <c r="C21" s="539" t="s">
        <v>197</v>
      </c>
      <c r="D21" s="539">
        <v>6.12</v>
      </c>
      <c r="E21" s="567">
        <v>35580</v>
      </c>
      <c r="F21" s="568">
        <f t="shared" si="3"/>
        <v>35580</v>
      </c>
      <c r="G21" s="568">
        <f t="shared" si="0"/>
        <v>37757</v>
      </c>
      <c r="H21" s="568">
        <f t="shared" si="4"/>
        <v>38890</v>
      </c>
      <c r="I21" s="568">
        <f t="shared" si="2"/>
        <v>3241</v>
      </c>
      <c r="J21" s="455" t="s">
        <v>233</v>
      </c>
    </row>
    <row r="22" spans="1:10" hidden="1" x14ac:dyDescent="0.3">
      <c r="A22" s="455" t="s">
        <v>234</v>
      </c>
      <c r="B22" s="455" t="s">
        <v>1069</v>
      </c>
      <c r="C22" s="539" t="s">
        <v>197</v>
      </c>
      <c r="D22" s="539">
        <v>6.12</v>
      </c>
      <c r="E22" s="567">
        <v>33944.949999999997</v>
      </c>
      <c r="F22" s="568">
        <f t="shared" si="3"/>
        <v>33945</v>
      </c>
      <c r="G22" s="568">
        <f t="shared" si="0"/>
        <v>36022</v>
      </c>
      <c r="H22" s="568">
        <f t="shared" si="4"/>
        <v>37103</v>
      </c>
      <c r="I22" s="568">
        <f t="shared" si="2"/>
        <v>3092</v>
      </c>
      <c r="J22" s="455" t="s">
        <v>221</v>
      </c>
    </row>
    <row r="23" spans="1:10" hidden="1" x14ac:dyDescent="0.3">
      <c r="A23" s="455" t="s">
        <v>235</v>
      </c>
      <c r="B23" s="455" t="s">
        <v>122</v>
      </c>
      <c r="C23" s="539" t="s">
        <v>197</v>
      </c>
      <c r="D23" s="539">
        <v>8.33</v>
      </c>
      <c r="E23" s="567">
        <v>78674.05</v>
      </c>
      <c r="F23" s="568">
        <f t="shared" si="3"/>
        <v>78674</v>
      </c>
      <c r="G23" s="568">
        <f t="shared" si="0"/>
        <v>85228</v>
      </c>
      <c r="H23" s="568">
        <f t="shared" si="4"/>
        <v>87785</v>
      </c>
      <c r="I23" s="568">
        <f t="shared" si="2"/>
        <v>7315</v>
      </c>
      <c r="J23" s="455" t="s">
        <v>236</v>
      </c>
    </row>
    <row r="24" spans="1:10" hidden="1" x14ac:dyDescent="0.3">
      <c r="A24" s="455" t="s">
        <v>237</v>
      </c>
      <c r="B24" s="455" t="s">
        <v>100</v>
      </c>
      <c r="C24" s="539" t="s">
        <v>197</v>
      </c>
      <c r="D24" s="539">
        <v>6.12</v>
      </c>
      <c r="E24" s="567">
        <v>47770</v>
      </c>
      <c r="F24" s="568">
        <f t="shared" si="3"/>
        <v>47770</v>
      </c>
      <c r="G24" s="568">
        <f t="shared" si="0"/>
        <v>50694</v>
      </c>
      <c r="H24" s="568">
        <f t="shared" si="4"/>
        <v>52215</v>
      </c>
      <c r="I24" s="568">
        <f t="shared" si="2"/>
        <v>4351</v>
      </c>
      <c r="J24" s="455" t="s">
        <v>238</v>
      </c>
    </row>
    <row r="25" spans="1:10" hidden="1" x14ac:dyDescent="0.3">
      <c r="A25" s="455" t="s">
        <v>239</v>
      </c>
      <c r="B25" s="455" t="s">
        <v>1069</v>
      </c>
      <c r="C25" s="539" t="s">
        <v>197</v>
      </c>
      <c r="D25" s="539">
        <v>6.12</v>
      </c>
      <c r="E25" s="567">
        <v>25125.919999999998</v>
      </c>
      <c r="F25" s="568">
        <f t="shared" si="3"/>
        <v>25126</v>
      </c>
      <c r="G25" s="568">
        <f t="shared" si="0"/>
        <v>26664</v>
      </c>
      <c r="H25" s="568">
        <f t="shared" si="4"/>
        <v>27464</v>
      </c>
      <c r="I25" s="568">
        <f t="shared" si="2"/>
        <v>2289</v>
      </c>
      <c r="J25" s="455" t="s">
        <v>221</v>
      </c>
    </row>
    <row r="26" spans="1:10" hidden="1" x14ac:dyDescent="0.3">
      <c r="A26" s="455" t="s">
        <v>241</v>
      </c>
      <c r="B26" s="455" t="s">
        <v>114</v>
      </c>
      <c r="C26" s="539" t="s">
        <v>197</v>
      </c>
      <c r="D26" s="539">
        <v>6.12</v>
      </c>
      <c r="E26" s="567">
        <v>67895</v>
      </c>
      <c r="F26" s="568">
        <f t="shared" si="3"/>
        <v>67895</v>
      </c>
      <c r="G26" s="568">
        <f t="shared" si="0"/>
        <v>72050</v>
      </c>
      <c r="H26" s="568">
        <f t="shared" ref="H26" si="5">ROUND(G26*(1+(COLA/100)),0)</f>
        <v>74212</v>
      </c>
      <c r="I26" s="568">
        <f t="shared" si="2"/>
        <v>6184</v>
      </c>
      <c r="J26" s="455" t="s">
        <v>242</v>
      </c>
    </row>
    <row r="27" spans="1:10" hidden="1" x14ac:dyDescent="0.3">
      <c r="A27" s="455" t="s">
        <v>243</v>
      </c>
      <c r="B27" s="455" t="s">
        <v>122</v>
      </c>
      <c r="C27" s="539" t="s">
        <v>197</v>
      </c>
      <c r="D27" s="539">
        <v>6.12</v>
      </c>
      <c r="E27" s="567">
        <v>66440</v>
      </c>
      <c r="F27" s="568">
        <f t="shared" si="3"/>
        <v>66440</v>
      </c>
      <c r="G27" s="568">
        <f t="shared" si="0"/>
        <v>70506</v>
      </c>
      <c r="H27" s="568">
        <f t="shared" si="4"/>
        <v>72621</v>
      </c>
      <c r="I27" s="568">
        <f t="shared" si="2"/>
        <v>6052</v>
      </c>
      <c r="J27" s="455" t="s">
        <v>244</v>
      </c>
    </row>
    <row r="28" spans="1:10" hidden="1" x14ac:dyDescent="0.3">
      <c r="A28" s="455" t="s">
        <v>245</v>
      </c>
      <c r="B28" s="455" t="s">
        <v>122</v>
      </c>
      <c r="C28" s="539" t="s">
        <v>197</v>
      </c>
      <c r="D28" s="539">
        <v>8.33</v>
      </c>
      <c r="E28" s="567">
        <v>89492</v>
      </c>
      <c r="F28" s="568">
        <f t="shared" si="3"/>
        <v>89492</v>
      </c>
      <c r="G28" s="568">
        <f t="shared" si="0"/>
        <v>96947</v>
      </c>
      <c r="H28" s="568">
        <f t="shared" si="4"/>
        <v>99855</v>
      </c>
      <c r="I28" s="568">
        <f t="shared" si="2"/>
        <v>8321</v>
      </c>
      <c r="J28" s="455" t="s">
        <v>246</v>
      </c>
    </row>
    <row r="29" spans="1:10" hidden="1" x14ac:dyDescent="0.3">
      <c r="A29" s="455" t="s">
        <v>247</v>
      </c>
      <c r="B29" s="455" t="s">
        <v>104</v>
      </c>
      <c r="C29" s="539" t="s">
        <v>200</v>
      </c>
      <c r="D29" s="539" t="s">
        <v>201</v>
      </c>
      <c r="E29" s="567">
        <v>135439</v>
      </c>
      <c r="F29" s="568">
        <f t="shared" si="3"/>
        <v>180585</v>
      </c>
      <c r="G29" s="568">
        <f t="shared" si="0"/>
        <v>180585</v>
      </c>
      <c r="H29" s="568">
        <f t="shared" si="4"/>
        <v>186003</v>
      </c>
      <c r="I29" s="568">
        <f t="shared" si="2"/>
        <v>15500</v>
      </c>
      <c r="J29" s="455" t="s">
        <v>225</v>
      </c>
    </row>
    <row r="30" spans="1:10" hidden="1" x14ac:dyDescent="0.3">
      <c r="A30" s="455" t="s">
        <v>248</v>
      </c>
      <c r="B30" s="455" t="s">
        <v>107</v>
      </c>
      <c r="C30" s="539" t="s">
        <v>200</v>
      </c>
      <c r="D30" s="539" t="s">
        <v>201</v>
      </c>
      <c r="E30" s="567">
        <v>86443</v>
      </c>
      <c r="F30" s="568">
        <f t="shared" si="3"/>
        <v>115257</v>
      </c>
      <c r="G30" s="568">
        <f t="shared" si="0"/>
        <v>115257</v>
      </c>
      <c r="H30" s="568">
        <f t="shared" si="4"/>
        <v>118715</v>
      </c>
      <c r="I30" s="568">
        <f t="shared" si="2"/>
        <v>9893</v>
      </c>
      <c r="J30" s="455" t="s">
        <v>219</v>
      </c>
    </row>
    <row r="31" spans="1:10" hidden="1" x14ac:dyDescent="0.3">
      <c r="A31" s="455" t="s">
        <v>249</v>
      </c>
      <c r="B31" s="455" t="s">
        <v>107</v>
      </c>
      <c r="C31" s="539" t="s">
        <v>200</v>
      </c>
      <c r="D31" s="539" t="s">
        <v>201</v>
      </c>
      <c r="E31" s="567">
        <v>67580</v>
      </c>
      <c r="F31" s="568">
        <f>ROUND(E31/C31*12,0)</f>
        <v>90107</v>
      </c>
      <c r="G31" s="568">
        <f>ROUND(F31*(1+(D31/100)),0)</f>
        <v>90107</v>
      </c>
      <c r="H31" s="568">
        <f>ROUND(G31*(1+(COLA/100)),0)</f>
        <v>92810</v>
      </c>
      <c r="I31" s="568">
        <f>ROUND(H31/12,0)</f>
        <v>7734</v>
      </c>
      <c r="J31" s="455" t="s">
        <v>250</v>
      </c>
    </row>
    <row r="32" spans="1:10" hidden="1" x14ac:dyDescent="0.3">
      <c r="A32" s="455" t="s">
        <v>251</v>
      </c>
      <c r="B32" s="455" t="s">
        <v>1063</v>
      </c>
      <c r="C32" s="539" t="s">
        <v>200</v>
      </c>
      <c r="D32" s="539" t="s">
        <v>201</v>
      </c>
      <c r="E32" s="567">
        <v>51386</v>
      </c>
      <c r="F32" s="568">
        <f t="shared" si="3"/>
        <v>68515</v>
      </c>
      <c r="G32" s="568">
        <f t="shared" si="0"/>
        <v>68515</v>
      </c>
      <c r="H32" s="568">
        <f t="shared" si="4"/>
        <v>70570</v>
      </c>
      <c r="I32" s="568">
        <f t="shared" si="2"/>
        <v>5881</v>
      </c>
      <c r="J32" s="455" t="s">
        <v>252</v>
      </c>
    </row>
    <row r="33" spans="1:10" hidden="1" x14ac:dyDescent="0.3">
      <c r="A33" s="455" t="s">
        <v>253</v>
      </c>
      <c r="B33" s="455" t="s">
        <v>1069</v>
      </c>
      <c r="C33" s="539" t="s">
        <v>197</v>
      </c>
      <c r="D33" s="539">
        <v>6.12</v>
      </c>
      <c r="E33" s="567">
        <v>31823.39</v>
      </c>
      <c r="F33" s="569">
        <f>ROUND(E33/C33*12,0)</f>
        <v>31823</v>
      </c>
      <c r="G33" s="569">
        <f>ROUND(F33*(1+(D33/100)),0)</f>
        <v>33771</v>
      </c>
      <c r="H33" s="569">
        <f>ROUND(G33*(1+(COLA/100)),0)</f>
        <v>34784</v>
      </c>
      <c r="I33" s="569">
        <f>ROUND(H33/12,0)</f>
        <v>2899</v>
      </c>
      <c r="J33" s="455" t="s">
        <v>221</v>
      </c>
    </row>
    <row r="34" spans="1:10" hidden="1" x14ac:dyDescent="0.3">
      <c r="A34" s="455" t="s">
        <v>254</v>
      </c>
      <c r="B34" s="455" t="s">
        <v>97</v>
      </c>
      <c r="C34" s="539" t="s">
        <v>197</v>
      </c>
      <c r="D34" s="539">
        <v>8.33</v>
      </c>
      <c r="E34" s="567">
        <v>53636</v>
      </c>
      <c r="F34" s="568">
        <f t="shared" si="3"/>
        <v>53636</v>
      </c>
      <c r="G34" s="568">
        <f t="shared" si="0"/>
        <v>58104</v>
      </c>
      <c r="H34" s="568">
        <f t="shared" si="4"/>
        <v>59847</v>
      </c>
      <c r="I34" s="568">
        <f t="shared" si="2"/>
        <v>4987</v>
      </c>
      <c r="J34" s="455" t="s">
        <v>255</v>
      </c>
    </row>
    <row r="35" spans="1:10" hidden="1" x14ac:dyDescent="0.3">
      <c r="A35" s="455" t="s">
        <v>256</v>
      </c>
      <c r="B35" s="455" t="s">
        <v>97</v>
      </c>
      <c r="C35" s="539" t="s">
        <v>197</v>
      </c>
      <c r="D35" s="539">
        <v>6.12</v>
      </c>
      <c r="E35" s="567">
        <v>36153</v>
      </c>
      <c r="F35" s="568">
        <f t="shared" si="3"/>
        <v>36153</v>
      </c>
      <c r="G35" s="568">
        <f t="shared" si="0"/>
        <v>38366</v>
      </c>
      <c r="H35" s="568">
        <f t="shared" si="4"/>
        <v>39517</v>
      </c>
      <c r="I35" s="568">
        <f t="shared" si="2"/>
        <v>3293</v>
      </c>
      <c r="J35" s="455" t="s">
        <v>257</v>
      </c>
    </row>
    <row r="36" spans="1:10" hidden="1" x14ac:dyDescent="0.3">
      <c r="A36" s="455" t="s">
        <v>258</v>
      </c>
      <c r="B36" s="455" t="s">
        <v>125</v>
      </c>
      <c r="C36" s="539" t="s">
        <v>200</v>
      </c>
      <c r="D36" s="539" t="s">
        <v>201</v>
      </c>
      <c r="E36" s="567">
        <v>69120</v>
      </c>
      <c r="F36" s="568">
        <f>ROUND(E36/C36*12,0)</f>
        <v>92160</v>
      </c>
      <c r="G36" s="568">
        <f>ROUND(F36*(1+(D36/100)),0)</f>
        <v>92160</v>
      </c>
      <c r="H36" s="568">
        <f>ROUND(G36*(1+(COLA/100)),0)</f>
        <v>94925</v>
      </c>
      <c r="I36" s="568">
        <f>ROUND(H36/12,0)</f>
        <v>7910</v>
      </c>
      <c r="J36" s="455" t="s">
        <v>250</v>
      </c>
    </row>
    <row r="37" spans="1:10" hidden="1" x14ac:dyDescent="0.3">
      <c r="A37" s="455" t="s">
        <v>259</v>
      </c>
      <c r="B37" s="455" t="s">
        <v>1063</v>
      </c>
      <c r="C37" s="539" t="s">
        <v>200</v>
      </c>
      <c r="D37" s="539" t="s">
        <v>201</v>
      </c>
      <c r="E37" s="567">
        <v>80854</v>
      </c>
      <c r="F37" s="568">
        <f t="shared" si="3"/>
        <v>107805</v>
      </c>
      <c r="G37" s="568">
        <f t="shared" si="0"/>
        <v>107805</v>
      </c>
      <c r="H37" s="568">
        <f t="shared" si="4"/>
        <v>111039</v>
      </c>
      <c r="I37" s="568">
        <f t="shared" si="2"/>
        <v>9253</v>
      </c>
      <c r="J37" s="455" t="s">
        <v>202</v>
      </c>
    </row>
    <row r="38" spans="1:10" hidden="1" x14ac:dyDescent="0.3">
      <c r="A38" s="455" t="s">
        <v>260</v>
      </c>
      <c r="B38" s="455" t="s">
        <v>97</v>
      </c>
      <c r="C38" s="539" t="s">
        <v>197</v>
      </c>
      <c r="D38" s="539">
        <v>6.12</v>
      </c>
      <c r="E38" s="567">
        <v>38577.370000000003</v>
      </c>
      <c r="F38" s="568">
        <f t="shared" si="3"/>
        <v>38577</v>
      </c>
      <c r="G38" s="568">
        <f t="shared" si="0"/>
        <v>40938</v>
      </c>
      <c r="H38" s="568">
        <f t="shared" si="4"/>
        <v>42166</v>
      </c>
      <c r="I38" s="568">
        <f t="shared" si="2"/>
        <v>3514</v>
      </c>
      <c r="J38" s="455" t="s">
        <v>261</v>
      </c>
    </row>
    <row r="39" spans="1:10" hidden="1" x14ac:dyDescent="0.3">
      <c r="A39" s="455" t="s">
        <v>262</v>
      </c>
      <c r="B39" s="455" t="s">
        <v>142</v>
      </c>
      <c r="C39" s="539" t="s">
        <v>197</v>
      </c>
      <c r="D39" s="539">
        <v>6.12</v>
      </c>
      <c r="E39" s="567">
        <v>81669</v>
      </c>
      <c r="F39" s="568">
        <f t="shared" si="3"/>
        <v>81669</v>
      </c>
      <c r="G39" s="568">
        <f t="shared" si="0"/>
        <v>86667</v>
      </c>
      <c r="H39" s="568">
        <f t="shared" si="4"/>
        <v>89267</v>
      </c>
      <c r="I39" s="568">
        <f t="shared" si="2"/>
        <v>7439</v>
      </c>
      <c r="J39" s="455" t="s">
        <v>198</v>
      </c>
    </row>
    <row r="40" spans="1:10" hidden="1" x14ac:dyDescent="0.3">
      <c r="A40" s="455" t="s">
        <v>263</v>
      </c>
      <c r="B40" s="455" t="s">
        <v>104</v>
      </c>
      <c r="C40" s="539" t="s">
        <v>200</v>
      </c>
      <c r="D40" s="539" t="s">
        <v>201</v>
      </c>
      <c r="E40" s="567">
        <v>90925</v>
      </c>
      <c r="F40" s="568">
        <f t="shared" si="3"/>
        <v>121233</v>
      </c>
      <c r="G40" s="568">
        <f t="shared" si="0"/>
        <v>121233</v>
      </c>
      <c r="H40" s="568">
        <f t="shared" si="4"/>
        <v>124870</v>
      </c>
      <c r="I40" s="568">
        <f t="shared" si="2"/>
        <v>10406</v>
      </c>
      <c r="J40" s="455" t="s">
        <v>209</v>
      </c>
    </row>
    <row r="41" spans="1:10" hidden="1" x14ac:dyDescent="0.3">
      <c r="A41" s="455" t="s">
        <v>264</v>
      </c>
      <c r="B41" s="455" t="s">
        <v>125</v>
      </c>
      <c r="C41" s="539" t="s">
        <v>200</v>
      </c>
      <c r="D41" s="539" t="s">
        <v>201</v>
      </c>
      <c r="E41" s="567">
        <v>91712</v>
      </c>
      <c r="F41" s="569">
        <f t="shared" si="3"/>
        <v>122283</v>
      </c>
      <c r="G41" s="569">
        <f t="shared" si="0"/>
        <v>122283</v>
      </c>
      <c r="H41" s="569">
        <f t="shared" si="4"/>
        <v>125951</v>
      </c>
      <c r="I41" s="569">
        <f t="shared" si="2"/>
        <v>10496</v>
      </c>
      <c r="J41" s="455" t="s">
        <v>225</v>
      </c>
    </row>
    <row r="42" spans="1:10" hidden="1" x14ac:dyDescent="0.3">
      <c r="A42" s="455" t="s">
        <v>265</v>
      </c>
      <c r="B42" s="455" t="s">
        <v>124</v>
      </c>
      <c r="C42" s="539" t="s">
        <v>200</v>
      </c>
      <c r="D42" s="539" t="s">
        <v>201</v>
      </c>
      <c r="E42" s="567">
        <v>85922</v>
      </c>
      <c r="F42" s="568">
        <f t="shared" si="3"/>
        <v>114563</v>
      </c>
      <c r="G42" s="568">
        <f t="shared" si="0"/>
        <v>114563</v>
      </c>
      <c r="H42" s="568">
        <f t="shared" ref="H42" si="6">ROUND(G42*(1+(COLA/100)),0)</f>
        <v>118000</v>
      </c>
      <c r="I42" s="568">
        <f t="shared" si="2"/>
        <v>9833</v>
      </c>
      <c r="J42" s="455" t="s">
        <v>219</v>
      </c>
    </row>
    <row r="43" spans="1:10" hidden="1" x14ac:dyDescent="0.3">
      <c r="A43" s="455" t="s">
        <v>266</v>
      </c>
      <c r="B43" s="455" t="s">
        <v>1069</v>
      </c>
      <c r="C43" s="539" t="s">
        <v>197</v>
      </c>
      <c r="D43" s="539">
        <v>6.12</v>
      </c>
      <c r="E43" s="567">
        <v>32053.58</v>
      </c>
      <c r="F43" s="568">
        <f t="shared" si="3"/>
        <v>32054</v>
      </c>
      <c r="G43" s="568">
        <f t="shared" si="0"/>
        <v>34016</v>
      </c>
      <c r="H43" s="568">
        <f t="shared" si="4"/>
        <v>35036</v>
      </c>
      <c r="I43" s="568">
        <f t="shared" si="2"/>
        <v>2920</v>
      </c>
      <c r="J43" s="455" t="s">
        <v>267</v>
      </c>
    </row>
    <row r="44" spans="1:10" hidden="1" x14ac:dyDescent="0.3">
      <c r="A44" s="455" t="s">
        <v>268</v>
      </c>
      <c r="B44" s="455" t="s">
        <v>119</v>
      </c>
      <c r="C44" s="539" t="s">
        <v>200</v>
      </c>
      <c r="D44" s="539" t="s">
        <v>201</v>
      </c>
      <c r="E44" s="567">
        <v>64210</v>
      </c>
      <c r="F44" s="568">
        <f t="shared" si="3"/>
        <v>85613</v>
      </c>
      <c r="G44" s="568">
        <f t="shared" si="0"/>
        <v>85613</v>
      </c>
      <c r="H44" s="568">
        <f t="shared" si="4"/>
        <v>88181</v>
      </c>
      <c r="I44" s="568">
        <f t="shared" si="2"/>
        <v>7348</v>
      </c>
      <c r="J44" s="455" t="s">
        <v>269</v>
      </c>
    </row>
    <row r="45" spans="1:10" hidden="1" x14ac:dyDescent="0.3">
      <c r="A45" s="455" t="s">
        <v>270</v>
      </c>
      <c r="B45" s="455" t="s">
        <v>119</v>
      </c>
      <c r="C45" s="539">
        <v>9</v>
      </c>
      <c r="D45" s="539">
        <v>0</v>
      </c>
      <c r="E45" s="567">
        <v>59614</v>
      </c>
      <c r="F45" s="569">
        <f t="shared" ref="F45" si="7">ROUND(E45/C45*12,0)</f>
        <v>79485</v>
      </c>
      <c r="G45" s="569">
        <f t="shared" ref="G45" si="8">ROUND(F45*(1+(D45/100)),0)</f>
        <v>79485</v>
      </c>
      <c r="H45" s="569">
        <f t="shared" ref="H45" si="9">ROUND(G45*(1+(COLA/100)),0)</f>
        <v>81870</v>
      </c>
      <c r="I45" s="569">
        <f t="shared" ref="I45" si="10">ROUND(H45/12,0)</f>
        <v>6823</v>
      </c>
      <c r="J45" s="455" t="s">
        <v>271</v>
      </c>
    </row>
    <row r="46" spans="1:10" hidden="1" x14ac:dyDescent="0.3">
      <c r="A46" s="455" t="s">
        <v>272</v>
      </c>
      <c r="B46" s="455" t="s">
        <v>1069</v>
      </c>
      <c r="C46" s="539" t="s">
        <v>197</v>
      </c>
      <c r="D46" s="539">
        <v>6.12</v>
      </c>
      <c r="E46" s="567">
        <v>25125.919999999998</v>
      </c>
      <c r="F46" s="568">
        <f t="shared" si="3"/>
        <v>25126</v>
      </c>
      <c r="G46" s="568">
        <f t="shared" si="0"/>
        <v>26664</v>
      </c>
      <c r="H46" s="568">
        <f t="shared" si="4"/>
        <v>27464</v>
      </c>
      <c r="I46" s="568">
        <f t="shared" si="2"/>
        <v>2289</v>
      </c>
      <c r="J46" s="455" t="s">
        <v>221</v>
      </c>
    </row>
    <row r="47" spans="1:10" hidden="1" x14ac:dyDescent="0.3">
      <c r="A47" s="455" t="s">
        <v>273</v>
      </c>
      <c r="B47" s="455" t="s">
        <v>107</v>
      </c>
      <c r="C47" s="539" t="s">
        <v>200</v>
      </c>
      <c r="D47" s="539" t="s">
        <v>201</v>
      </c>
      <c r="E47" s="567">
        <v>96097</v>
      </c>
      <c r="F47" s="568">
        <f t="shared" si="3"/>
        <v>128129</v>
      </c>
      <c r="G47" s="568">
        <f t="shared" si="0"/>
        <v>128129</v>
      </c>
      <c r="H47" s="568">
        <f t="shared" si="4"/>
        <v>131973</v>
      </c>
      <c r="I47" s="568">
        <f t="shared" si="2"/>
        <v>10998</v>
      </c>
      <c r="J47" s="455" t="s">
        <v>225</v>
      </c>
    </row>
    <row r="48" spans="1:10" hidden="1" x14ac:dyDescent="0.3">
      <c r="A48" s="455" t="s">
        <v>274</v>
      </c>
      <c r="B48" s="455" t="s">
        <v>146</v>
      </c>
      <c r="C48" s="539" t="s">
        <v>197</v>
      </c>
      <c r="D48" s="539">
        <v>6.12</v>
      </c>
      <c r="E48" s="567">
        <v>85048</v>
      </c>
      <c r="F48" s="568">
        <f t="shared" si="3"/>
        <v>85048</v>
      </c>
      <c r="G48" s="568">
        <f t="shared" si="0"/>
        <v>90253</v>
      </c>
      <c r="H48" s="568">
        <f t="shared" si="4"/>
        <v>92961</v>
      </c>
      <c r="I48" s="568">
        <f t="shared" si="2"/>
        <v>7747</v>
      </c>
      <c r="J48" s="455" t="s">
        <v>198</v>
      </c>
    </row>
    <row r="49" spans="1:10" hidden="1" x14ac:dyDescent="0.3">
      <c r="A49" s="455" t="s">
        <v>275</v>
      </c>
      <c r="B49" s="455" t="s">
        <v>104</v>
      </c>
      <c r="C49" s="539" t="s">
        <v>200</v>
      </c>
      <c r="D49" s="539">
        <v>0</v>
      </c>
      <c r="E49" s="567">
        <v>88410</v>
      </c>
      <c r="F49" s="568">
        <f t="shared" ref="F49" si="11">ROUND(E49/C49*12,0)</f>
        <v>117880</v>
      </c>
      <c r="G49" s="568">
        <f t="shared" ref="G49" si="12">ROUND(F49*(1+(D49/100)),0)</f>
        <v>117880</v>
      </c>
      <c r="H49" s="568">
        <f t="shared" ref="H49" si="13">ROUND(G49*(1+(COLA/100)),0)</f>
        <v>121416</v>
      </c>
      <c r="I49" s="568">
        <f t="shared" ref="I49" si="14">ROUND(H49/12,0)</f>
        <v>10118</v>
      </c>
      <c r="J49" s="455" t="s">
        <v>271</v>
      </c>
    </row>
    <row r="50" spans="1:10" hidden="1" x14ac:dyDescent="0.3">
      <c r="A50" s="455" t="s">
        <v>276</v>
      </c>
      <c r="B50" s="455" t="s">
        <v>90</v>
      </c>
      <c r="C50" s="539" t="s">
        <v>197</v>
      </c>
      <c r="D50" s="539">
        <v>6.12</v>
      </c>
      <c r="E50" s="567">
        <v>72191</v>
      </c>
      <c r="F50" s="568">
        <f t="shared" si="3"/>
        <v>72191</v>
      </c>
      <c r="G50" s="568">
        <f t="shared" si="0"/>
        <v>76609</v>
      </c>
      <c r="H50" s="568">
        <f t="shared" si="4"/>
        <v>78907</v>
      </c>
      <c r="I50" s="568">
        <f t="shared" si="2"/>
        <v>6576</v>
      </c>
      <c r="J50" s="455" t="s">
        <v>277</v>
      </c>
    </row>
    <row r="51" spans="1:10" hidden="1" x14ac:dyDescent="0.3">
      <c r="A51" s="455" t="s">
        <v>278</v>
      </c>
      <c r="B51" s="455" t="s">
        <v>1063</v>
      </c>
      <c r="C51" s="539" t="s">
        <v>200</v>
      </c>
      <c r="D51" s="539" t="s">
        <v>201</v>
      </c>
      <c r="E51" s="567">
        <v>72382</v>
      </c>
      <c r="F51" s="568">
        <f t="shared" si="3"/>
        <v>96509</v>
      </c>
      <c r="G51" s="568">
        <f t="shared" si="0"/>
        <v>96509</v>
      </c>
      <c r="H51" s="568">
        <f t="shared" si="4"/>
        <v>99404</v>
      </c>
      <c r="I51" s="568">
        <f t="shared" si="2"/>
        <v>8284</v>
      </c>
      <c r="J51" s="455" t="s">
        <v>225</v>
      </c>
    </row>
    <row r="52" spans="1:10" hidden="1" x14ac:dyDescent="0.3">
      <c r="A52" s="455" t="s">
        <v>279</v>
      </c>
      <c r="B52" s="455" t="s">
        <v>107</v>
      </c>
      <c r="C52" s="539">
        <v>9</v>
      </c>
      <c r="D52" s="539">
        <v>0</v>
      </c>
      <c r="E52" s="567">
        <v>84000</v>
      </c>
      <c r="F52" s="568">
        <f t="shared" si="3"/>
        <v>112000</v>
      </c>
      <c r="G52" s="568">
        <f t="shared" si="0"/>
        <v>112000</v>
      </c>
      <c r="H52" s="568">
        <f t="shared" ref="H52" si="15">ROUND(G52*(1+(COLA/100)),0)</f>
        <v>115360</v>
      </c>
      <c r="I52" s="568">
        <f t="shared" si="2"/>
        <v>9613</v>
      </c>
      <c r="J52" s="455" t="s">
        <v>219</v>
      </c>
    </row>
    <row r="53" spans="1:10" hidden="1" x14ac:dyDescent="0.3">
      <c r="A53" s="455" t="s">
        <v>280</v>
      </c>
      <c r="B53" s="455" t="s">
        <v>102</v>
      </c>
      <c r="C53" s="539" t="s">
        <v>197</v>
      </c>
      <c r="D53" s="539">
        <v>6.12</v>
      </c>
      <c r="E53" s="567">
        <v>77526</v>
      </c>
      <c r="F53" s="568">
        <f t="shared" si="3"/>
        <v>77526</v>
      </c>
      <c r="G53" s="568">
        <f t="shared" si="0"/>
        <v>82271</v>
      </c>
      <c r="H53" s="568">
        <f t="shared" si="4"/>
        <v>84739</v>
      </c>
      <c r="I53" s="568">
        <f t="shared" si="2"/>
        <v>7062</v>
      </c>
      <c r="J53" s="455" t="s">
        <v>277</v>
      </c>
    </row>
    <row r="54" spans="1:10" hidden="1" x14ac:dyDescent="0.3">
      <c r="A54" s="455" t="s">
        <v>281</v>
      </c>
      <c r="B54" s="455" t="s">
        <v>134</v>
      </c>
      <c r="C54" s="539" t="s">
        <v>197</v>
      </c>
      <c r="D54" s="539">
        <v>6.12</v>
      </c>
      <c r="E54" s="567">
        <v>54890</v>
      </c>
      <c r="F54" s="568">
        <f t="shared" si="3"/>
        <v>54890</v>
      </c>
      <c r="G54" s="568">
        <f t="shared" si="0"/>
        <v>58249</v>
      </c>
      <c r="H54" s="568">
        <f t="shared" si="4"/>
        <v>59996</v>
      </c>
      <c r="I54" s="568">
        <f t="shared" si="2"/>
        <v>5000</v>
      </c>
      <c r="J54" s="455" t="s">
        <v>282</v>
      </c>
    </row>
    <row r="55" spans="1:10" hidden="1" x14ac:dyDescent="0.3">
      <c r="A55" s="455" t="s">
        <v>283</v>
      </c>
      <c r="B55" s="455" t="s">
        <v>1062</v>
      </c>
      <c r="C55" s="539" t="s">
        <v>200</v>
      </c>
      <c r="D55" s="539" t="s">
        <v>201</v>
      </c>
      <c r="E55" s="567">
        <v>62748</v>
      </c>
      <c r="F55" s="568">
        <f t="shared" si="3"/>
        <v>83664</v>
      </c>
      <c r="G55" s="568">
        <f t="shared" si="0"/>
        <v>83664</v>
      </c>
      <c r="H55" s="568">
        <f t="shared" si="4"/>
        <v>86174</v>
      </c>
      <c r="I55" s="568">
        <f t="shared" si="2"/>
        <v>7181</v>
      </c>
      <c r="J55" s="455" t="s">
        <v>250</v>
      </c>
    </row>
    <row r="56" spans="1:10" hidden="1" x14ac:dyDescent="0.3">
      <c r="A56" s="455" t="s">
        <v>285</v>
      </c>
      <c r="B56" s="455" t="s">
        <v>1059</v>
      </c>
      <c r="C56" s="539" t="s">
        <v>197</v>
      </c>
      <c r="D56" s="539">
        <v>6.12</v>
      </c>
      <c r="E56" s="567">
        <v>52042</v>
      </c>
      <c r="F56" s="568">
        <f t="shared" si="3"/>
        <v>52042</v>
      </c>
      <c r="G56" s="568">
        <f t="shared" si="0"/>
        <v>55227</v>
      </c>
      <c r="H56" s="568">
        <f t="shared" si="4"/>
        <v>56884</v>
      </c>
      <c r="I56" s="568">
        <f t="shared" si="2"/>
        <v>4740</v>
      </c>
      <c r="J56" s="455" t="s">
        <v>277</v>
      </c>
    </row>
    <row r="57" spans="1:10" hidden="1" x14ac:dyDescent="0.3">
      <c r="A57" s="455" t="s">
        <v>286</v>
      </c>
      <c r="B57" s="455" t="s">
        <v>1059</v>
      </c>
      <c r="C57" s="539" t="s">
        <v>197</v>
      </c>
      <c r="D57" s="539">
        <v>6.12</v>
      </c>
      <c r="E57" s="567">
        <v>82486</v>
      </c>
      <c r="F57" s="568">
        <f t="shared" si="3"/>
        <v>82486</v>
      </c>
      <c r="G57" s="568">
        <f t="shared" si="0"/>
        <v>87534</v>
      </c>
      <c r="H57" s="568">
        <f>ROUND(G57*(1+(COLA/100)),0)</f>
        <v>90160</v>
      </c>
      <c r="I57" s="568">
        <f t="shared" si="2"/>
        <v>7513</v>
      </c>
      <c r="J57" s="455" t="s">
        <v>246</v>
      </c>
    </row>
    <row r="58" spans="1:10" hidden="1" x14ac:dyDescent="0.3">
      <c r="A58" s="455" t="s">
        <v>287</v>
      </c>
      <c r="B58" s="455" t="s">
        <v>107</v>
      </c>
      <c r="C58" s="539" t="s">
        <v>197</v>
      </c>
      <c r="D58" s="539">
        <v>6.12</v>
      </c>
      <c r="E58" s="567">
        <v>80145</v>
      </c>
      <c r="F58" s="568">
        <f t="shared" si="3"/>
        <v>80145</v>
      </c>
      <c r="G58" s="568">
        <f t="shared" si="0"/>
        <v>85050</v>
      </c>
      <c r="H58" s="568">
        <f t="shared" si="4"/>
        <v>87602</v>
      </c>
      <c r="I58" s="568">
        <f t="shared" si="2"/>
        <v>7300</v>
      </c>
      <c r="J58" s="455" t="s">
        <v>288</v>
      </c>
    </row>
    <row r="59" spans="1:10" hidden="1" x14ac:dyDescent="0.3">
      <c r="A59" s="455" t="s">
        <v>289</v>
      </c>
      <c r="B59" s="455" t="s">
        <v>107</v>
      </c>
      <c r="C59" s="539" t="s">
        <v>197</v>
      </c>
      <c r="D59" s="539">
        <v>8.33</v>
      </c>
      <c r="E59" s="567">
        <v>41948</v>
      </c>
      <c r="F59" s="568">
        <f t="shared" ref="F59:F112" si="16">ROUND(E59/C59*12,0)</f>
        <v>41948</v>
      </c>
      <c r="G59" s="568">
        <f t="shared" ref="G59:G110" si="17">ROUND(F59*(1+(D59/100)),0)</f>
        <v>45442</v>
      </c>
      <c r="H59" s="568">
        <f t="shared" si="4"/>
        <v>46805</v>
      </c>
      <c r="I59" s="568">
        <f t="shared" ref="I59:I110" si="18">ROUND(H59/12,0)</f>
        <v>3900</v>
      </c>
      <c r="J59" s="455" t="s">
        <v>290</v>
      </c>
    </row>
    <row r="60" spans="1:10" hidden="1" x14ac:dyDescent="0.3">
      <c r="A60" s="455" t="s">
        <v>291</v>
      </c>
      <c r="B60" s="455" t="s">
        <v>134</v>
      </c>
      <c r="C60" s="539" t="s">
        <v>200</v>
      </c>
      <c r="D60" s="539" t="s">
        <v>201</v>
      </c>
      <c r="E60" s="567">
        <v>88942</v>
      </c>
      <c r="F60" s="569">
        <f t="shared" si="16"/>
        <v>118589</v>
      </c>
      <c r="G60" s="569">
        <f t="shared" si="17"/>
        <v>118589</v>
      </c>
      <c r="H60" s="569">
        <f t="shared" si="4"/>
        <v>122147</v>
      </c>
      <c r="I60" s="569">
        <f t="shared" si="18"/>
        <v>10179</v>
      </c>
      <c r="J60" s="455" t="s">
        <v>202</v>
      </c>
    </row>
    <row r="61" spans="1:10" hidden="1" x14ac:dyDescent="0.3">
      <c r="A61" s="455" t="s">
        <v>292</v>
      </c>
      <c r="B61" s="455" t="s">
        <v>144</v>
      </c>
      <c r="C61" s="539" t="s">
        <v>197</v>
      </c>
      <c r="D61" s="539">
        <v>6.12</v>
      </c>
      <c r="E61" s="567">
        <v>44818.47</v>
      </c>
      <c r="F61" s="568">
        <f t="shared" si="16"/>
        <v>44818</v>
      </c>
      <c r="G61" s="568">
        <f t="shared" si="17"/>
        <v>47561</v>
      </c>
      <c r="H61" s="568">
        <f t="shared" si="4"/>
        <v>48988</v>
      </c>
      <c r="I61" s="568">
        <f t="shared" si="18"/>
        <v>4082</v>
      </c>
      <c r="J61" s="455" t="s">
        <v>293</v>
      </c>
    </row>
    <row r="62" spans="1:10" hidden="1" x14ac:dyDescent="0.3">
      <c r="A62" s="455" t="s">
        <v>294</v>
      </c>
      <c r="B62" s="455" t="s">
        <v>126</v>
      </c>
      <c r="C62" s="539">
        <v>12</v>
      </c>
      <c r="D62" s="539">
        <v>6.12</v>
      </c>
      <c r="E62" s="567">
        <v>158219</v>
      </c>
      <c r="F62" s="568">
        <f t="shared" ref="F62" si="19">ROUND(E62/C62*12,0)</f>
        <v>158219</v>
      </c>
      <c r="G62" s="568">
        <f t="shared" ref="G62" si="20">ROUND(F62*(1+(D62/100)),0)</f>
        <v>167902</v>
      </c>
      <c r="H62" s="568">
        <f t="shared" ref="H62" si="21">ROUND(G62*(1+(COLA/100)),0)</f>
        <v>172939</v>
      </c>
      <c r="I62" s="568">
        <f t="shared" ref="I62" si="22">ROUND(H62/12,0)</f>
        <v>14412</v>
      </c>
      <c r="J62" s="455" t="s">
        <v>225</v>
      </c>
    </row>
    <row r="63" spans="1:10" hidden="1" x14ac:dyDescent="0.3">
      <c r="A63" s="455" t="s">
        <v>295</v>
      </c>
      <c r="B63" s="455" t="s">
        <v>126</v>
      </c>
      <c r="C63" s="539" t="s">
        <v>200</v>
      </c>
      <c r="D63" s="539" t="s">
        <v>201</v>
      </c>
      <c r="E63" s="567">
        <v>104868</v>
      </c>
      <c r="F63" s="568">
        <f t="shared" si="16"/>
        <v>139824</v>
      </c>
      <c r="G63" s="568">
        <f t="shared" si="17"/>
        <v>139824</v>
      </c>
      <c r="H63" s="568">
        <f t="shared" si="4"/>
        <v>144019</v>
      </c>
      <c r="I63" s="568">
        <f t="shared" si="18"/>
        <v>12002</v>
      </c>
      <c r="J63" s="455" t="s">
        <v>202</v>
      </c>
    </row>
    <row r="64" spans="1:10" hidden="1" x14ac:dyDescent="0.3">
      <c r="A64" s="455" t="s">
        <v>296</v>
      </c>
      <c r="B64" s="455" t="s">
        <v>93</v>
      </c>
      <c r="C64" s="539" t="s">
        <v>197</v>
      </c>
      <c r="D64" s="539">
        <v>6.12</v>
      </c>
      <c r="E64" s="567">
        <v>70734</v>
      </c>
      <c r="F64" s="568">
        <f t="shared" si="16"/>
        <v>70734</v>
      </c>
      <c r="G64" s="568">
        <f t="shared" si="17"/>
        <v>75063</v>
      </c>
      <c r="H64" s="568">
        <f t="shared" si="4"/>
        <v>77315</v>
      </c>
      <c r="I64" s="568">
        <f t="shared" si="18"/>
        <v>6443</v>
      </c>
      <c r="J64" s="455" t="s">
        <v>277</v>
      </c>
    </row>
    <row r="65" spans="1:10" hidden="1" x14ac:dyDescent="0.3">
      <c r="A65" s="455" t="s">
        <v>297</v>
      </c>
      <c r="B65" s="455" t="s">
        <v>116</v>
      </c>
      <c r="C65" s="539" t="s">
        <v>197</v>
      </c>
      <c r="D65" s="539">
        <v>8.33</v>
      </c>
      <c r="E65" s="567">
        <v>43163.34</v>
      </c>
      <c r="F65" s="568">
        <f t="shared" si="16"/>
        <v>43163</v>
      </c>
      <c r="G65" s="568">
        <f t="shared" si="17"/>
        <v>46758</v>
      </c>
      <c r="H65" s="568">
        <f t="shared" si="4"/>
        <v>48161</v>
      </c>
      <c r="I65" s="568">
        <f t="shared" si="18"/>
        <v>4013</v>
      </c>
      <c r="J65" s="455" t="s">
        <v>261</v>
      </c>
    </row>
    <row r="66" spans="1:10" hidden="1" x14ac:dyDescent="0.3">
      <c r="A66" s="455" t="s">
        <v>298</v>
      </c>
      <c r="B66" s="455" t="s">
        <v>110</v>
      </c>
      <c r="C66" s="539" t="s">
        <v>197</v>
      </c>
      <c r="D66" s="539">
        <v>8.33</v>
      </c>
      <c r="E66" s="567">
        <v>60350</v>
      </c>
      <c r="F66" s="568">
        <f>ROUND(E66/C66*12,0)</f>
        <v>60350</v>
      </c>
      <c r="G66" s="568">
        <f>ROUND(F66*(1+(D66/100)),0)</f>
        <v>65377</v>
      </c>
      <c r="H66" s="568">
        <f>ROUND(G66*(1+(COLA/100)),0)</f>
        <v>67338</v>
      </c>
      <c r="I66" s="568">
        <f>ROUND(H66/12,0)</f>
        <v>5612</v>
      </c>
      <c r="J66" s="455" t="s">
        <v>215</v>
      </c>
    </row>
    <row r="67" spans="1:10" hidden="1" x14ac:dyDescent="0.3">
      <c r="A67" s="455" t="s">
        <v>299</v>
      </c>
      <c r="B67" s="455" t="s">
        <v>1063</v>
      </c>
      <c r="C67" s="539" t="s">
        <v>197</v>
      </c>
      <c r="D67" s="539">
        <v>6.12</v>
      </c>
      <c r="E67" s="567">
        <v>34365</v>
      </c>
      <c r="F67" s="568">
        <f t="shared" si="16"/>
        <v>34365</v>
      </c>
      <c r="G67" s="568">
        <f t="shared" si="17"/>
        <v>36468</v>
      </c>
      <c r="H67" s="568">
        <f t="shared" si="4"/>
        <v>37562</v>
      </c>
      <c r="I67" s="568">
        <f t="shared" si="18"/>
        <v>3130</v>
      </c>
      <c r="J67" s="455" t="s">
        <v>261</v>
      </c>
    </row>
    <row r="68" spans="1:10" hidden="1" x14ac:dyDescent="0.3">
      <c r="A68" s="455" t="s">
        <v>300</v>
      </c>
      <c r="B68" s="455" t="s">
        <v>301</v>
      </c>
      <c r="C68" s="539" t="s">
        <v>197</v>
      </c>
      <c r="D68" s="539">
        <v>6.12</v>
      </c>
      <c r="E68" s="567">
        <v>38375.26</v>
      </c>
      <c r="F68" s="568">
        <f>ROUND(E68/C68*12,0)</f>
        <v>38375</v>
      </c>
      <c r="G68" s="568">
        <f>ROUND(F68*(1+(D68/100)),0)</f>
        <v>40724</v>
      </c>
      <c r="H68" s="568">
        <f>ROUND(G68*(1+(COLA/100)),0)</f>
        <v>41946</v>
      </c>
      <c r="I68" s="568">
        <f>ROUND(H68/12,0)</f>
        <v>3496</v>
      </c>
      <c r="J68" s="455" t="s">
        <v>302</v>
      </c>
    </row>
    <row r="69" spans="1:10" hidden="1" x14ac:dyDescent="0.3">
      <c r="A69" s="455" t="s">
        <v>303</v>
      </c>
      <c r="B69" s="455" t="s">
        <v>122</v>
      </c>
      <c r="C69" s="539" t="s">
        <v>197</v>
      </c>
      <c r="D69" s="539">
        <v>8.33</v>
      </c>
      <c r="E69" s="567">
        <v>78674.05</v>
      </c>
      <c r="F69" s="568">
        <f t="shared" si="16"/>
        <v>78674</v>
      </c>
      <c r="G69" s="568">
        <f t="shared" si="17"/>
        <v>85228</v>
      </c>
      <c r="H69" s="568">
        <f t="shared" si="4"/>
        <v>87785</v>
      </c>
      <c r="I69" s="568">
        <f t="shared" si="18"/>
        <v>7315</v>
      </c>
      <c r="J69" s="455" t="s">
        <v>236</v>
      </c>
    </row>
    <row r="70" spans="1:10" hidden="1" x14ac:dyDescent="0.3">
      <c r="A70" s="455" t="s">
        <v>304</v>
      </c>
      <c r="B70" s="455" t="s">
        <v>1061</v>
      </c>
      <c r="C70" s="539" t="s">
        <v>200</v>
      </c>
      <c r="D70" s="539" t="s">
        <v>201</v>
      </c>
      <c r="E70" s="567">
        <v>96629</v>
      </c>
      <c r="F70" s="568">
        <f t="shared" si="16"/>
        <v>128839</v>
      </c>
      <c r="G70" s="568">
        <f t="shared" si="17"/>
        <v>128839</v>
      </c>
      <c r="H70" s="568">
        <f t="shared" si="4"/>
        <v>132704</v>
      </c>
      <c r="I70" s="568">
        <f t="shared" si="18"/>
        <v>11059</v>
      </c>
      <c r="J70" s="455" t="s">
        <v>219</v>
      </c>
    </row>
    <row r="71" spans="1:10" hidden="1" x14ac:dyDescent="0.3">
      <c r="A71" s="455" t="s">
        <v>305</v>
      </c>
      <c r="B71" s="455" t="s">
        <v>124</v>
      </c>
      <c r="C71" s="539" t="s">
        <v>200</v>
      </c>
      <c r="D71" s="539" t="s">
        <v>201</v>
      </c>
      <c r="E71" s="567">
        <v>94911</v>
      </c>
      <c r="F71" s="568">
        <f t="shared" si="16"/>
        <v>126548</v>
      </c>
      <c r="G71" s="568">
        <f t="shared" si="17"/>
        <v>126548</v>
      </c>
      <c r="H71" s="568">
        <f t="shared" ref="H71:H125" si="23">ROUND(G71*(1+(COLA/100)),0)</f>
        <v>130344</v>
      </c>
      <c r="I71" s="568">
        <f t="shared" si="18"/>
        <v>10862</v>
      </c>
      <c r="J71" s="455" t="s">
        <v>219</v>
      </c>
    </row>
    <row r="72" spans="1:10" hidden="1" x14ac:dyDescent="0.3">
      <c r="A72" s="455" t="s">
        <v>306</v>
      </c>
      <c r="B72" s="455" t="s">
        <v>1069</v>
      </c>
      <c r="C72" s="539" t="s">
        <v>197</v>
      </c>
      <c r="D72" s="539">
        <v>6.12</v>
      </c>
      <c r="E72" s="567">
        <v>49118</v>
      </c>
      <c r="F72" s="568">
        <f t="shared" si="16"/>
        <v>49118</v>
      </c>
      <c r="G72" s="568">
        <f t="shared" si="17"/>
        <v>52124</v>
      </c>
      <c r="H72" s="568">
        <f t="shared" si="23"/>
        <v>53688</v>
      </c>
      <c r="I72" s="568">
        <f t="shared" si="18"/>
        <v>4474</v>
      </c>
      <c r="J72" s="455" t="s">
        <v>307</v>
      </c>
    </row>
    <row r="73" spans="1:10" hidden="1" x14ac:dyDescent="0.3">
      <c r="A73" s="455" t="s">
        <v>308</v>
      </c>
      <c r="B73" s="455" t="s">
        <v>144</v>
      </c>
      <c r="C73" s="539" t="s">
        <v>197</v>
      </c>
      <c r="D73" s="539">
        <v>6.12</v>
      </c>
      <c r="E73" s="567">
        <v>38512.129999999997</v>
      </c>
      <c r="F73" s="568">
        <v>18</v>
      </c>
      <c r="G73" s="568">
        <f t="shared" si="17"/>
        <v>19</v>
      </c>
      <c r="H73" s="568">
        <f t="shared" si="23"/>
        <v>20</v>
      </c>
      <c r="I73" s="568">
        <f t="shared" si="18"/>
        <v>2</v>
      </c>
      <c r="J73" s="455" t="s">
        <v>309</v>
      </c>
    </row>
    <row r="74" spans="1:10" hidden="1" x14ac:dyDescent="0.3">
      <c r="A74" s="455" t="s">
        <v>310</v>
      </c>
      <c r="B74" s="455" t="s">
        <v>1063</v>
      </c>
      <c r="C74" s="539" t="s">
        <v>200</v>
      </c>
      <c r="D74" s="539" t="s">
        <v>201</v>
      </c>
      <c r="E74" s="567">
        <v>51204</v>
      </c>
      <c r="F74" s="568">
        <f t="shared" si="16"/>
        <v>68272</v>
      </c>
      <c r="G74" s="568">
        <f t="shared" si="17"/>
        <v>68272</v>
      </c>
      <c r="H74" s="568">
        <f t="shared" si="23"/>
        <v>70320</v>
      </c>
      <c r="I74" s="568">
        <f t="shared" si="18"/>
        <v>5860</v>
      </c>
      <c r="J74" s="455" t="s">
        <v>219</v>
      </c>
    </row>
    <row r="75" spans="1:10" hidden="1" x14ac:dyDescent="0.3">
      <c r="A75" s="455" t="s">
        <v>311</v>
      </c>
      <c r="B75" s="455" t="s">
        <v>118</v>
      </c>
      <c r="C75" s="539" t="s">
        <v>197</v>
      </c>
      <c r="D75" s="539">
        <v>6.12</v>
      </c>
      <c r="E75" s="567">
        <v>37751.019999999997</v>
      </c>
      <c r="F75" s="568">
        <f t="shared" si="16"/>
        <v>37751</v>
      </c>
      <c r="G75" s="568">
        <f t="shared" si="17"/>
        <v>40061</v>
      </c>
      <c r="H75" s="568">
        <f t="shared" si="23"/>
        <v>41263</v>
      </c>
      <c r="I75" s="568">
        <f t="shared" si="18"/>
        <v>3439</v>
      </c>
      <c r="J75" s="455" t="s">
        <v>312</v>
      </c>
    </row>
    <row r="76" spans="1:10" hidden="1" x14ac:dyDescent="0.3">
      <c r="A76" s="455" t="s">
        <v>313</v>
      </c>
      <c r="B76" s="455" t="s">
        <v>104</v>
      </c>
      <c r="C76" s="539" t="s">
        <v>197</v>
      </c>
      <c r="D76" s="539">
        <v>6.12</v>
      </c>
      <c r="E76" s="567">
        <v>78732</v>
      </c>
      <c r="F76" s="568">
        <f t="shared" si="16"/>
        <v>78732</v>
      </c>
      <c r="G76" s="568">
        <f t="shared" si="17"/>
        <v>83550</v>
      </c>
      <c r="H76" s="568">
        <f t="shared" si="23"/>
        <v>86057</v>
      </c>
      <c r="I76" s="568">
        <f t="shared" si="18"/>
        <v>7171</v>
      </c>
      <c r="J76" s="455" t="s">
        <v>314</v>
      </c>
    </row>
    <row r="77" spans="1:10" hidden="1" x14ac:dyDescent="0.3">
      <c r="A77" s="455" t="s">
        <v>315</v>
      </c>
      <c r="B77" s="455" t="s">
        <v>124</v>
      </c>
      <c r="C77" s="539" t="s">
        <v>200</v>
      </c>
      <c r="D77" s="539" t="s">
        <v>201</v>
      </c>
      <c r="E77" s="567">
        <v>85561</v>
      </c>
      <c r="F77" s="568">
        <f t="shared" si="16"/>
        <v>114081</v>
      </c>
      <c r="G77" s="568">
        <f t="shared" si="17"/>
        <v>114081</v>
      </c>
      <c r="H77" s="568">
        <f t="shared" si="23"/>
        <v>117503</v>
      </c>
      <c r="I77" s="568">
        <f t="shared" si="18"/>
        <v>9792</v>
      </c>
      <c r="J77" s="455" t="s">
        <v>219</v>
      </c>
    </row>
    <row r="78" spans="1:10" hidden="1" x14ac:dyDescent="0.3">
      <c r="A78" s="455" t="s">
        <v>316</v>
      </c>
      <c r="B78" s="455" t="s">
        <v>104</v>
      </c>
      <c r="C78" s="539" t="s">
        <v>200</v>
      </c>
      <c r="D78" s="539" t="s">
        <v>201</v>
      </c>
      <c r="E78" s="567">
        <v>127422</v>
      </c>
      <c r="F78" s="568">
        <f t="shared" si="16"/>
        <v>169896</v>
      </c>
      <c r="G78" s="568">
        <f t="shared" si="17"/>
        <v>169896</v>
      </c>
      <c r="H78" s="568">
        <f t="shared" si="23"/>
        <v>174993</v>
      </c>
      <c r="I78" s="568">
        <f t="shared" si="18"/>
        <v>14583</v>
      </c>
      <c r="J78" s="455" t="s">
        <v>202</v>
      </c>
    </row>
    <row r="79" spans="1:10" hidden="1" x14ac:dyDescent="0.3">
      <c r="A79" s="455" t="s">
        <v>317</v>
      </c>
      <c r="B79" s="455" t="s">
        <v>126</v>
      </c>
      <c r="C79" s="539" t="s">
        <v>200</v>
      </c>
      <c r="D79" s="539" t="s">
        <v>201</v>
      </c>
      <c r="E79" s="567">
        <v>68708</v>
      </c>
      <c r="F79" s="569">
        <f t="shared" ref="F79" si="24">ROUND(E79/C79*12,0)</f>
        <v>91611</v>
      </c>
      <c r="G79" s="569">
        <f t="shared" ref="G79" si="25">ROUND(F79*(1+(D79/100)),0)</f>
        <v>91611</v>
      </c>
      <c r="H79" s="569">
        <f t="shared" ref="H79" si="26">ROUND(G79*(1+(COLA/100)),0)</f>
        <v>94359</v>
      </c>
      <c r="I79" s="569">
        <f t="shared" ref="I79" si="27">ROUND(H79/12,0)</f>
        <v>7863</v>
      </c>
      <c r="J79" s="455" t="s">
        <v>209</v>
      </c>
    </row>
    <row r="80" spans="1:10" hidden="1" x14ac:dyDescent="0.3">
      <c r="A80" s="455" t="s">
        <v>318</v>
      </c>
      <c r="B80" s="455" t="s">
        <v>134</v>
      </c>
      <c r="C80" s="539" t="s">
        <v>200</v>
      </c>
      <c r="D80" s="539" t="s">
        <v>201</v>
      </c>
      <c r="E80" s="567">
        <v>51104</v>
      </c>
      <c r="F80" s="569">
        <f t="shared" si="16"/>
        <v>68139</v>
      </c>
      <c r="G80" s="569">
        <f t="shared" si="17"/>
        <v>68139</v>
      </c>
      <c r="H80" s="569">
        <f t="shared" si="23"/>
        <v>70183</v>
      </c>
      <c r="I80" s="569">
        <f t="shared" si="18"/>
        <v>5849</v>
      </c>
      <c r="J80" s="455" t="s">
        <v>209</v>
      </c>
    </row>
    <row r="81" spans="1:10" hidden="1" x14ac:dyDescent="0.3">
      <c r="A81" s="455" t="s">
        <v>319</v>
      </c>
      <c r="B81" s="455" t="s">
        <v>140</v>
      </c>
      <c r="C81" s="539" t="s">
        <v>200</v>
      </c>
      <c r="D81" s="539" t="s">
        <v>201</v>
      </c>
      <c r="E81" s="567">
        <v>63380</v>
      </c>
      <c r="F81" s="568">
        <f t="shared" si="16"/>
        <v>84507</v>
      </c>
      <c r="G81" s="568">
        <f t="shared" si="17"/>
        <v>84507</v>
      </c>
      <c r="H81" s="568">
        <f t="shared" si="23"/>
        <v>87042</v>
      </c>
      <c r="I81" s="568">
        <f t="shared" si="18"/>
        <v>7254</v>
      </c>
      <c r="J81" s="455" t="s">
        <v>225</v>
      </c>
    </row>
    <row r="82" spans="1:10" hidden="1" x14ac:dyDescent="0.3">
      <c r="A82" s="455" t="s">
        <v>320</v>
      </c>
      <c r="B82" s="455" t="s">
        <v>114</v>
      </c>
      <c r="C82" s="539" t="s">
        <v>197</v>
      </c>
      <c r="D82" s="539">
        <v>8.33</v>
      </c>
      <c r="E82" s="567">
        <v>111934</v>
      </c>
      <c r="F82" s="568">
        <f>ROUND(E82/C82*12,0)</f>
        <v>111934</v>
      </c>
      <c r="G82" s="568">
        <f>ROUND(F82*(1+(D82/100)),0)</f>
        <v>121258</v>
      </c>
      <c r="H82" s="568">
        <f>ROUND(G82*(1+(COLA/100)),0)</f>
        <v>124896</v>
      </c>
      <c r="I82" s="568">
        <f>ROUND(H82/12,0)</f>
        <v>10408</v>
      </c>
      <c r="J82" s="455" t="s">
        <v>217</v>
      </c>
    </row>
    <row r="83" spans="1:10" hidden="1" x14ac:dyDescent="0.3">
      <c r="A83" s="455" t="s">
        <v>321</v>
      </c>
      <c r="B83" s="455" t="s">
        <v>1061</v>
      </c>
      <c r="C83" s="539" t="s">
        <v>197</v>
      </c>
      <c r="D83" s="539">
        <v>6.12</v>
      </c>
      <c r="E83" s="567">
        <v>30598.37</v>
      </c>
      <c r="F83" s="568">
        <f t="shared" si="16"/>
        <v>30598</v>
      </c>
      <c r="G83" s="568">
        <f t="shared" si="17"/>
        <v>32471</v>
      </c>
      <c r="H83" s="568">
        <f t="shared" si="23"/>
        <v>33445</v>
      </c>
      <c r="I83" s="568">
        <f t="shared" si="18"/>
        <v>2787</v>
      </c>
      <c r="J83" s="455" t="s">
        <v>302</v>
      </c>
    </row>
    <row r="84" spans="1:10" hidden="1" x14ac:dyDescent="0.3">
      <c r="A84" s="455" t="s">
        <v>322</v>
      </c>
      <c r="B84" s="455" t="s">
        <v>114</v>
      </c>
      <c r="C84" s="539" t="s">
        <v>197</v>
      </c>
      <c r="D84" s="539">
        <v>8.33</v>
      </c>
      <c r="E84" s="567">
        <v>63147</v>
      </c>
      <c r="F84" s="568">
        <f t="shared" si="16"/>
        <v>63147</v>
      </c>
      <c r="G84" s="568">
        <f t="shared" si="17"/>
        <v>68407</v>
      </c>
      <c r="H84" s="568">
        <f t="shared" si="23"/>
        <v>70459</v>
      </c>
      <c r="I84" s="568">
        <f t="shared" si="18"/>
        <v>5872</v>
      </c>
      <c r="J84" s="455" t="s">
        <v>323</v>
      </c>
    </row>
    <row r="85" spans="1:10" hidden="1" x14ac:dyDescent="0.3">
      <c r="A85" s="455" t="s">
        <v>324</v>
      </c>
      <c r="B85" s="455" t="s">
        <v>144</v>
      </c>
      <c r="C85" s="539" t="s">
        <v>197</v>
      </c>
      <c r="D85" s="539">
        <v>6.12</v>
      </c>
      <c r="E85" s="567">
        <v>70000</v>
      </c>
      <c r="F85" s="568">
        <f t="shared" si="16"/>
        <v>70000</v>
      </c>
      <c r="G85" s="568">
        <f t="shared" si="17"/>
        <v>74284</v>
      </c>
      <c r="H85" s="568">
        <f t="shared" si="23"/>
        <v>76513</v>
      </c>
      <c r="I85" s="568">
        <f t="shared" si="18"/>
        <v>6376</v>
      </c>
      <c r="J85" s="455" t="s">
        <v>325</v>
      </c>
    </row>
    <row r="86" spans="1:10" hidden="1" x14ac:dyDescent="0.3">
      <c r="A86" s="455" t="s">
        <v>326</v>
      </c>
      <c r="B86" s="455" t="s">
        <v>142</v>
      </c>
      <c r="C86" s="539" t="s">
        <v>197</v>
      </c>
      <c r="D86" s="539">
        <v>6.12</v>
      </c>
      <c r="E86" s="567">
        <v>50308</v>
      </c>
      <c r="F86" s="568">
        <f t="shared" si="16"/>
        <v>50308</v>
      </c>
      <c r="G86" s="568">
        <f t="shared" si="17"/>
        <v>53387</v>
      </c>
      <c r="H86" s="568">
        <f t="shared" si="23"/>
        <v>54989</v>
      </c>
      <c r="I86" s="568">
        <f t="shared" si="18"/>
        <v>4582</v>
      </c>
      <c r="J86" s="455" t="s">
        <v>327</v>
      </c>
    </row>
    <row r="87" spans="1:10" hidden="1" x14ac:dyDescent="0.3">
      <c r="A87" s="455" t="s">
        <v>328</v>
      </c>
      <c r="B87" s="455" t="s">
        <v>103</v>
      </c>
      <c r="C87" s="539" t="s">
        <v>197</v>
      </c>
      <c r="D87" s="539">
        <v>6.12</v>
      </c>
      <c r="E87" s="567">
        <v>43953</v>
      </c>
      <c r="F87" s="568">
        <f t="shared" si="16"/>
        <v>43953</v>
      </c>
      <c r="G87" s="568">
        <f t="shared" si="17"/>
        <v>46643</v>
      </c>
      <c r="H87" s="568">
        <f t="shared" si="23"/>
        <v>48042</v>
      </c>
      <c r="I87" s="568">
        <f t="shared" si="18"/>
        <v>4004</v>
      </c>
      <c r="J87" s="455" t="s">
        <v>329</v>
      </c>
    </row>
    <row r="88" spans="1:10" hidden="1" x14ac:dyDescent="0.3">
      <c r="A88" s="455" t="s">
        <v>330</v>
      </c>
      <c r="B88" s="455" t="s">
        <v>119</v>
      </c>
      <c r="C88" s="539" t="s">
        <v>197</v>
      </c>
      <c r="D88" s="539">
        <v>6.12</v>
      </c>
      <c r="E88" s="567">
        <v>44933.120000000003</v>
      </c>
      <c r="F88" s="569">
        <f t="shared" si="16"/>
        <v>44933</v>
      </c>
      <c r="G88" s="569">
        <f t="shared" si="17"/>
        <v>47683</v>
      </c>
      <c r="H88" s="569">
        <f t="shared" si="23"/>
        <v>49113</v>
      </c>
      <c r="I88" s="569">
        <f t="shared" si="18"/>
        <v>4093</v>
      </c>
      <c r="J88" s="455" t="s">
        <v>302</v>
      </c>
    </row>
    <row r="89" spans="1:10" hidden="1" x14ac:dyDescent="0.3">
      <c r="A89" s="455" t="s">
        <v>331</v>
      </c>
      <c r="B89" s="455" t="s">
        <v>122</v>
      </c>
      <c r="C89" s="539" t="s">
        <v>197</v>
      </c>
      <c r="D89" s="539">
        <v>6.12</v>
      </c>
      <c r="E89" s="567">
        <v>76802</v>
      </c>
      <c r="F89" s="569">
        <f>ROUND(E89/C89*12,0)</f>
        <v>76802</v>
      </c>
      <c r="G89" s="569">
        <f>ROUND(F89*(1+(D89/100)),0)</f>
        <v>81502</v>
      </c>
      <c r="H89" s="569">
        <f>ROUND(G89*(1+(COLA/100)),0)</f>
        <v>83947</v>
      </c>
      <c r="I89" s="569">
        <f>ROUND(H89/12,0)</f>
        <v>6996</v>
      </c>
      <c r="J89" s="455" t="s">
        <v>246</v>
      </c>
    </row>
    <row r="90" spans="1:10" hidden="1" x14ac:dyDescent="0.3">
      <c r="A90" s="455" t="s">
        <v>332</v>
      </c>
      <c r="B90" s="455" t="s">
        <v>1069</v>
      </c>
      <c r="C90" s="539" t="s">
        <v>197</v>
      </c>
      <c r="D90" s="539">
        <v>6.12</v>
      </c>
      <c r="E90" s="567">
        <v>39882</v>
      </c>
      <c r="F90" s="568">
        <f t="shared" si="16"/>
        <v>39882</v>
      </c>
      <c r="G90" s="568">
        <f t="shared" si="17"/>
        <v>42323</v>
      </c>
      <c r="H90" s="568">
        <f t="shared" si="23"/>
        <v>43593</v>
      </c>
      <c r="I90" s="568">
        <f t="shared" si="18"/>
        <v>3633</v>
      </c>
      <c r="J90" s="455" t="s">
        <v>333</v>
      </c>
    </row>
    <row r="91" spans="1:10" hidden="1" x14ac:dyDescent="0.3">
      <c r="A91" s="455" t="s">
        <v>334</v>
      </c>
      <c r="B91" s="455" t="s">
        <v>146</v>
      </c>
      <c r="C91" s="539" t="s">
        <v>197</v>
      </c>
      <c r="D91" s="539">
        <v>6.12</v>
      </c>
      <c r="E91" s="567">
        <v>63900</v>
      </c>
      <c r="F91" s="568">
        <f t="shared" si="16"/>
        <v>63900</v>
      </c>
      <c r="G91" s="568">
        <f t="shared" si="17"/>
        <v>67811</v>
      </c>
      <c r="H91" s="568">
        <f t="shared" si="23"/>
        <v>69845</v>
      </c>
      <c r="I91" s="568">
        <f t="shared" si="18"/>
        <v>5820</v>
      </c>
      <c r="J91" s="455" t="s">
        <v>198</v>
      </c>
    </row>
    <row r="92" spans="1:10" hidden="1" x14ac:dyDescent="0.3">
      <c r="A92" s="455" t="s">
        <v>335</v>
      </c>
      <c r="B92" s="455" t="s">
        <v>119</v>
      </c>
      <c r="C92" s="539" t="s">
        <v>197</v>
      </c>
      <c r="D92" s="539">
        <v>6.12</v>
      </c>
      <c r="E92" s="567">
        <v>41442</v>
      </c>
      <c r="F92" s="568">
        <f t="shared" si="16"/>
        <v>41442</v>
      </c>
      <c r="G92" s="568">
        <f t="shared" si="17"/>
        <v>43978</v>
      </c>
      <c r="H92" s="568">
        <f t="shared" si="23"/>
        <v>45297</v>
      </c>
      <c r="I92" s="568">
        <f t="shared" si="18"/>
        <v>3775</v>
      </c>
      <c r="J92" s="455" t="s">
        <v>336</v>
      </c>
    </row>
    <row r="93" spans="1:10" hidden="1" x14ac:dyDescent="0.3">
      <c r="A93" s="455" t="s">
        <v>337</v>
      </c>
      <c r="B93" s="455" t="s">
        <v>124</v>
      </c>
      <c r="C93" s="539" t="s">
        <v>200</v>
      </c>
      <c r="D93" s="539" t="s">
        <v>201</v>
      </c>
      <c r="E93" s="567">
        <v>86277</v>
      </c>
      <c r="F93" s="568">
        <f t="shared" si="16"/>
        <v>115036</v>
      </c>
      <c r="G93" s="568">
        <f t="shared" si="17"/>
        <v>115036</v>
      </c>
      <c r="H93" s="568">
        <f t="shared" si="23"/>
        <v>118487</v>
      </c>
      <c r="I93" s="568">
        <f t="shared" si="18"/>
        <v>9874</v>
      </c>
      <c r="J93" s="455" t="s">
        <v>219</v>
      </c>
    </row>
    <row r="94" spans="1:10" hidden="1" x14ac:dyDescent="0.3">
      <c r="A94" s="455" t="s">
        <v>338</v>
      </c>
      <c r="B94" s="455" t="s">
        <v>104</v>
      </c>
      <c r="C94" s="539" t="s">
        <v>197</v>
      </c>
      <c r="D94" s="539">
        <v>6.12</v>
      </c>
      <c r="E94" s="567">
        <v>64243</v>
      </c>
      <c r="F94" s="568">
        <f t="shared" si="16"/>
        <v>64243</v>
      </c>
      <c r="G94" s="568">
        <f t="shared" si="17"/>
        <v>68175</v>
      </c>
      <c r="H94" s="568">
        <f t="shared" si="23"/>
        <v>70220</v>
      </c>
      <c r="I94" s="568">
        <f t="shared" si="18"/>
        <v>5852</v>
      </c>
      <c r="J94" s="455" t="s">
        <v>244</v>
      </c>
    </row>
    <row r="95" spans="1:10" hidden="1" x14ac:dyDescent="0.3">
      <c r="A95" s="455" t="s">
        <v>339</v>
      </c>
      <c r="B95" s="455" t="s">
        <v>104</v>
      </c>
      <c r="C95" s="539" t="s">
        <v>200</v>
      </c>
      <c r="D95" s="539" t="s">
        <v>201</v>
      </c>
      <c r="E95" s="567">
        <v>60227</v>
      </c>
      <c r="F95" s="568">
        <f t="shared" si="16"/>
        <v>80303</v>
      </c>
      <c r="G95" s="568">
        <f t="shared" si="17"/>
        <v>80303</v>
      </c>
      <c r="H95" s="568">
        <f t="shared" si="23"/>
        <v>82712</v>
      </c>
      <c r="I95" s="568">
        <f t="shared" si="18"/>
        <v>6893</v>
      </c>
      <c r="J95" s="455" t="s">
        <v>204</v>
      </c>
    </row>
    <row r="96" spans="1:10" hidden="1" x14ac:dyDescent="0.3">
      <c r="A96" s="455" t="s">
        <v>340</v>
      </c>
      <c r="B96" s="455" t="s">
        <v>122</v>
      </c>
      <c r="C96" s="539" t="s">
        <v>197</v>
      </c>
      <c r="D96" s="539">
        <v>6.12</v>
      </c>
      <c r="E96" s="567">
        <v>48928.46</v>
      </c>
      <c r="F96" s="568">
        <f t="shared" si="16"/>
        <v>48928</v>
      </c>
      <c r="G96" s="568">
        <f t="shared" si="17"/>
        <v>51922</v>
      </c>
      <c r="H96" s="568">
        <f t="shared" si="23"/>
        <v>53480</v>
      </c>
      <c r="I96" s="568">
        <f t="shared" si="18"/>
        <v>4457</v>
      </c>
      <c r="J96" s="455" t="s">
        <v>341</v>
      </c>
    </row>
    <row r="97" spans="1:10" hidden="1" x14ac:dyDescent="0.3">
      <c r="A97" s="455" t="s">
        <v>342</v>
      </c>
      <c r="B97" s="455" t="s">
        <v>1069</v>
      </c>
      <c r="C97" s="539" t="s">
        <v>197</v>
      </c>
      <c r="D97" s="539">
        <v>6.12</v>
      </c>
      <c r="E97" s="567">
        <v>55756.7</v>
      </c>
      <c r="F97" s="568">
        <f>ROUND(E97/C97*12,0)</f>
        <v>55757</v>
      </c>
      <c r="G97" s="568">
        <f>ROUND(F97*(1+(D97/100)),0)</f>
        <v>59169</v>
      </c>
      <c r="H97" s="568">
        <f>ROUND(G97*(1+(COLA/100)),0)</f>
        <v>60944</v>
      </c>
      <c r="I97" s="568">
        <f>ROUND(H97/12,0)</f>
        <v>5079</v>
      </c>
      <c r="J97" s="455" t="s">
        <v>343</v>
      </c>
    </row>
    <row r="98" spans="1:10" hidden="1" x14ac:dyDescent="0.3">
      <c r="A98" s="455" t="s">
        <v>344</v>
      </c>
      <c r="B98" s="455" t="s">
        <v>144</v>
      </c>
      <c r="C98" s="539" t="s">
        <v>197</v>
      </c>
      <c r="D98" s="539">
        <v>6.12</v>
      </c>
      <c r="E98" s="567">
        <v>32075.32</v>
      </c>
      <c r="F98" s="568">
        <f t="shared" si="16"/>
        <v>32075</v>
      </c>
      <c r="G98" s="568">
        <f t="shared" si="17"/>
        <v>34038</v>
      </c>
      <c r="H98" s="568">
        <f t="shared" ref="H98" si="28">ROUND(G98*(1+(COLA/100)),0)</f>
        <v>35059</v>
      </c>
      <c r="I98" s="568">
        <f t="shared" si="18"/>
        <v>2922</v>
      </c>
      <c r="J98" s="455" t="s">
        <v>345</v>
      </c>
    </row>
    <row r="99" spans="1:10" hidden="1" x14ac:dyDescent="0.3">
      <c r="A99" s="455" t="s">
        <v>346</v>
      </c>
      <c r="B99" s="455" t="s">
        <v>1063</v>
      </c>
      <c r="C99" s="539" t="s">
        <v>200</v>
      </c>
      <c r="D99" s="539" t="s">
        <v>201</v>
      </c>
      <c r="E99" s="567">
        <v>49636</v>
      </c>
      <c r="F99" s="568">
        <f t="shared" si="16"/>
        <v>66181</v>
      </c>
      <c r="G99" s="568">
        <f t="shared" si="17"/>
        <v>66181</v>
      </c>
      <c r="H99" s="568">
        <f t="shared" si="23"/>
        <v>68166</v>
      </c>
      <c r="I99" s="568">
        <f t="shared" si="18"/>
        <v>5681</v>
      </c>
      <c r="J99" s="455" t="s">
        <v>219</v>
      </c>
    </row>
    <row r="100" spans="1:10" hidden="1" x14ac:dyDescent="0.3">
      <c r="A100" s="455" t="s">
        <v>347</v>
      </c>
      <c r="B100" s="455" t="s">
        <v>103</v>
      </c>
      <c r="C100" s="539" t="s">
        <v>197</v>
      </c>
      <c r="D100" s="539">
        <v>6.12</v>
      </c>
      <c r="E100" s="567">
        <v>48156</v>
      </c>
      <c r="F100" s="568">
        <f t="shared" si="16"/>
        <v>48156</v>
      </c>
      <c r="G100" s="568">
        <f t="shared" si="17"/>
        <v>51103</v>
      </c>
      <c r="H100" s="568">
        <f t="shared" si="23"/>
        <v>52636</v>
      </c>
      <c r="I100" s="568">
        <f t="shared" si="18"/>
        <v>4386</v>
      </c>
      <c r="J100" s="455" t="s">
        <v>348</v>
      </c>
    </row>
    <row r="101" spans="1:10" hidden="1" x14ac:dyDescent="0.3">
      <c r="A101" s="455" t="s">
        <v>349</v>
      </c>
      <c r="B101" s="455" t="s">
        <v>104</v>
      </c>
      <c r="C101" s="539" t="s">
        <v>200</v>
      </c>
      <c r="D101" s="539" t="s">
        <v>201</v>
      </c>
      <c r="E101" s="567">
        <v>106046</v>
      </c>
      <c r="F101" s="568">
        <f t="shared" si="16"/>
        <v>141395</v>
      </c>
      <c r="G101" s="568">
        <f t="shared" si="17"/>
        <v>141395</v>
      </c>
      <c r="H101" s="568">
        <f t="shared" si="23"/>
        <v>145637</v>
      </c>
      <c r="I101" s="568">
        <f t="shared" si="18"/>
        <v>12136</v>
      </c>
      <c r="J101" s="455" t="s">
        <v>202</v>
      </c>
    </row>
    <row r="102" spans="1:10" hidden="1" x14ac:dyDescent="0.3">
      <c r="A102" s="455" t="s">
        <v>350</v>
      </c>
      <c r="B102" s="455" t="s">
        <v>144</v>
      </c>
      <c r="C102" s="539" t="s">
        <v>197</v>
      </c>
      <c r="D102" s="539">
        <v>6.12</v>
      </c>
      <c r="E102" s="567">
        <v>195000</v>
      </c>
      <c r="F102" s="568">
        <f t="shared" si="16"/>
        <v>195000</v>
      </c>
      <c r="G102" s="568">
        <f t="shared" si="17"/>
        <v>206934</v>
      </c>
      <c r="H102" s="568">
        <f t="shared" si="23"/>
        <v>213142</v>
      </c>
      <c r="I102" s="568">
        <f t="shared" si="18"/>
        <v>17762</v>
      </c>
      <c r="J102" s="455" t="s">
        <v>351</v>
      </c>
    </row>
    <row r="103" spans="1:10" hidden="1" x14ac:dyDescent="0.3">
      <c r="A103" s="455" t="s">
        <v>352</v>
      </c>
      <c r="B103" s="455" t="s">
        <v>134</v>
      </c>
      <c r="C103" s="539" t="s">
        <v>200</v>
      </c>
      <c r="D103" s="539" t="s">
        <v>201</v>
      </c>
      <c r="E103" s="567">
        <v>87301</v>
      </c>
      <c r="F103" s="568">
        <f t="shared" si="16"/>
        <v>116401</v>
      </c>
      <c r="G103" s="568">
        <f t="shared" si="17"/>
        <v>116401</v>
      </c>
      <c r="H103" s="568">
        <f t="shared" si="23"/>
        <v>119893</v>
      </c>
      <c r="I103" s="568">
        <f t="shared" si="18"/>
        <v>9991</v>
      </c>
      <c r="J103" s="455" t="s">
        <v>225</v>
      </c>
    </row>
    <row r="104" spans="1:10" hidden="1" x14ac:dyDescent="0.3">
      <c r="A104" s="455" t="s">
        <v>353</v>
      </c>
      <c r="B104" s="455" t="s">
        <v>107</v>
      </c>
      <c r="C104" s="539" t="s">
        <v>200</v>
      </c>
      <c r="D104" s="539" t="s">
        <v>201</v>
      </c>
      <c r="E104" s="567">
        <v>102061</v>
      </c>
      <c r="F104" s="568">
        <f>ROUND(E104/C104*12,0)</f>
        <v>136081</v>
      </c>
      <c r="G104" s="568">
        <f>ROUND(F104*(1+(D104/100)),0)</f>
        <v>136081</v>
      </c>
      <c r="H104" s="568">
        <f>ROUND(G104*(1+(COLA/100)),0)</f>
        <v>140163</v>
      </c>
      <c r="I104" s="568">
        <f>ROUND(H104/12,0)</f>
        <v>11680</v>
      </c>
      <c r="J104" s="455" t="s">
        <v>225</v>
      </c>
    </row>
    <row r="105" spans="1:10" hidden="1" x14ac:dyDescent="0.3">
      <c r="A105" s="455" t="s">
        <v>354</v>
      </c>
      <c r="B105" s="455" t="s">
        <v>1063</v>
      </c>
      <c r="C105" s="539" t="s">
        <v>200</v>
      </c>
      <c r="D105" s="539" t="s">
        <v>201</v>
      </c>
      <c r="E105" s="567">
        <v>66649</v>
      </c>
      <c r="F105" s="568">
        <f t="shared" si="16"/>
        <v>88865</v>
      </c>
      <c r="G105" s="568">
        <f t="shared" si="17"/>
        <v>88865</v>
      </c>
      <c r="H105" s="568">
        <f t="shared" si="23"/>
        <v>91531</v>
      </c>
      <c r="I105" s="568">
        <f t="shared" si="18"/>
        <v>7628</v>
      </c>
      <c r="J105" s="455" t="s">
        <v>219</v>
      </c>
    </row>
    <row r="106" spans="1:10" hidden="1" x14ac:dyDescent="0.3">
      <c r="A106" s="455" t="s">
        <v>355</v>
      </c>
      <c r="B106" s="455" t="s">
        <v>107</v>
      </c>
      <c r="C106" s="539" t="s">
        <v>200</v>
      </c>
      <c r="D106" s="539" t="s">
        <v>201</v>
      </c>
      <c r="E106" s="567">
        <v>83890</v>
      </c>
      <c r="F106" s="569">
        <f t="shared" si="16"/>
        <v>111853</v>
      </c>
      <c r="G106" s="569">
        <f t="shared" si="17"/>
        <v>111853</v>
      </c>
      <c r="H106" s="569">
        <f t="shared" si="23"/>
        <v>115209</v>
      </c>
      <c r="I106" s="569">
        <f t="shared" si="18"/>
        <v>9601</v>
      </c>
      <c r="J106" s="455" t="s">
        <v>219</v>
      </c>
    </row>
    <row r="107" spans="1:10" hidden="1" x14ac:dyDescent="0.3">
      <c r="A107" s="455" t="s">
        <v>356</v>
      </c>
      <c r="B107" s="455" t="s">
        <v>140</v>
      </c>
      <c r="C107" s="539" t="s">
        <v>200</v>
      </c>
      <c r="D107" s="539" t="s">
        <v>201</v>
      </c>
      <c r="E107" s="567">
        <v>68284</v>
      </c>
      <c r="F107" s="568">
        <f>ROUND(E107/C107*12,0)</f>
        <v>91045</v>
      </c>
      <c r="G107" s="568">
        <f>ROUND(F107*(1+(D107/100)),0)</f>
        <v>91045</v>
      </c>
      <c r="H107" s="568">
        <f>ROUND(G107*(1+(COLA/100)),0)</f>
        <v>93776</v>
      </c>
      <c r="I107" s="568">
        <f>ROUND(H107/12,0)</f>
        <v>7815</v>
      </c>
      <c r="J107" s="455" t="s">
        <v>219</v>
      </c>
    </row>
    <row r="108" spans="1:10" hidden="1" x14ac:dyDescent="0.3">
      <c r="A108" s="455" t="s">
        <v>357</v>
      </c>
      <c r="B108" s="455" t="s">
        <v>104</v>
      </c>
      <c r="C108" s="539" t="s">
        <v>200</v>
      </c>
      <c r="D108" s="539" t="s">
        <v>201</v>
      </c>
      <c r="E108" s="567">
        <v>48916</v>
      </c>
      <c r="F108" s="568">
        <f t="shared" si="16"/>
        <v>65221</v>
      </c>
      <c r="G108" s="568">
        <f t="shared" si="17"/>
        <v>65221</v>
      </c>
      <c r="H108" s="568">
        <f t="shared" si="23"/>
        <v>67178</v>
      </c>
      <c r="I108" s="568">
        <f t="shared" si="18"/>
        <v>5598</v>
      </c>
      <c r="J108" s="455" t="s">
        <v>250</v>
      </c>
    </row>
    <row r="109" spans="1:10" hidden="1" x14ac:dyDescent="0.3">
      <c r="A109" s="455" t="s">
        <v>358</v>
      </c>
      <c r="B109" s="455" t="s">
        <v>104</v>
      </c>
      <c r="C109" s="539" t="s">
        <v>200</v>
      </c>
      <c r="D109" s="539" t="s">
        <v>201</v>
      </c>
      <c r="E109" s="567">
        <v>115393</v>
      </c>
      <c r="F109" s="568">
        <f t="shared" si="16"/>
        <v>153857</v>
      </c>
      <c r="G109" s="568">
        <f t="shared" si="17"/>
        <v>153857</v>
      </c>
      <c r="H109" s="568">
        <f t="shared" si="23"/>
        <v>158473</v>
      </c>
      <c r="I109" s="568">
        <f t="shared" si="18"/>
        <v>13206</v>
      </c>
      <c r="J109" s="455" t="s">
        <v>202</v>
      </c>
    </row>
    <row r="110" spans="1:10" hidden="1" x14ac:dyDescent="0.3">
      <c r="A110" s="455" t="s">
        <v>359</v>
      </c>
      <c r="B110" s="455" t="s">
        <v>104</v>
      </c>
      <c r="C110" s="539" t="s">
        <v>200</v>
      </c>
      <c r="D110" s="539" t="s">
        <v>201</v>
      </c>
      <c r="E110" s="567">
        <v>95292</v>
      </c>
      <c r="F110" s="568">
        <f t="shared" si="16"/>
        <v>127056</v>
      </c>
      <c r="G110" s="568">
        <f t="shared" si="17"/>
        <v>127056</v>
      </c>
      <c r="H110" s="568">
        <f t="shared" si="23"/>
        <v>130868</v>
      </c>
      <c r="I110" s="568">
        <f t="shared" si="18"/>
        <v>10906</v>
      </c>
      <c r="J110" s="455" t="s">
        <v>225</v>
      </c>
    </row>
    <row r="111" spans="1:10" hidden="1" x14ac:dyDescent="0.3">
      <c r="A111" s="455" t="s">
        <v>360</v>
      </c>
      <c r="B111" s="455" t="s">
        <v>140</v>
      </c>
      <c r="C111" s="539" t="s">
        <v>197</v>
      </c>
      <c r="D111" s="539">
        <v>6.12</v>
      </c>
      <c r="E111" s="567">
        <v>147124</v>
      </c>
      <c r="F111" s="569">
        <f t="shared" si="16"/>
        <v>147124</v>
      </c>
      <c r="G111" s="569">
        <f t="shared" ref="G111:G167" si="29">ROUND(F111*(1+(D111/100)),0)</f>
        <v>156128</v>
      </c>
      <c r="H111" s="569">
        <f t="shared" si="23"/>
        <v>160812</v>
      </c>
      <c r="I111" s="569">
        <f t="shared" ref="I111:I167" si="30">ROUND(H111/12,0)</f>
        <v>13401</v>
      </c>
      <c r="J111" s="455" t="s">
        <v>217</v>
      </c>
    </row>
    <row r="112" spans="1:10" hidden="1" x14ac:dyDescent="0.3">
      <c r="A112" s="455" t="s">
        <v>361</v>
      </c>
      <c r="B112" s="455" t="s">
        <v>97</v>
      </c>
      <c r="C112" s="539" t="s">
        <v>197</v>
      </c>
      <c r="D112" s="539">
        <v>6.12</v>
      </c>
      <c r="E112" s="567">
        <v>78141</v>
      </c>
      <c r="F112" s="568">
        <f t="shared" si="16"/>
        <v>78141</v>
      </c>
      <c r="G112" s="568">
        <f t="shared" si="29"/>
        <v>82923</v>
      </c>
      <c r="H112" s="568">
        <f t="shared" si="23"/>
        <v>85411</v>
      </c>
      <c r="I112" s="568">
        <f t="shared" si="30"/>
        <v>7118</v>
      </c>
      <c r="J112" s="455" t="s">
        <v>257</v>
      </c>
    </row>
    <row r="113" spans="1:10" hidden="1" x14ac:dyDescent="0.3">
      <c r="A113" s="455" t="s">
        <v>362</v>
      </c>
      <c r="B113" s="455" t="s">
        <v>1063</v>
      </c>
      <c r="C113" s="539" t="s">
        <v>200</v>
      </c>
      <c r="D113" s="539" t="s">
        <v>201</v>
      </c>
      <c r="E113" s="567">
        <v>46547</v>
      </c>
      <c r="F113" s="568">
        <f t="shared" ref="F113:F170" si="31">ROUND(E113/C113*12,0)</f>
        <v>62063</v>
      </c>
      <c r="G113" s="568">
        <f t="shared" si="29"/>
        <v>62063</v>
      </c>
      <c r="H113" s="568">
        <f t="shared" si="23"/>
        <v>63925</v>
      </c>
      <c r="I113" s="568">
        <f t="shared" si="30"/>
        <v>5327</v>
      </c>
      <c r="J113" s="455" t="s">
        <v>209</v>
      </c>
    </row>
    <row r="114" spans="1:10" hidden="1" x14ac:dyDescent="0.3">
      <c r="A114" s="455" t="s">
        <v>363</v>
      </c>
      <c r="B114" s="455" t="s">
        <v>104</v>
      </c>
      <c r="C114" s="539" t="s">
        <v>200</v>
      </c>
      <c r="D114" s="539" t="s">
        <v>201</v>
      </c>
      <c r="E114" s="567">
        <v>99817</v>
      </c>
      <c r="F114" s="568">
        <f t="shared" si="31"/>
        <v>133089</v>
      </c>
      <c r="G114" s="568">
        <f t="shared" si="29"/>
        <v>133089</v>
      </c>
      <c r="H114" s="568">
        <f t="shared" si="23"/>
        <v>137082</v>
      </c>
      <c r="I114" s="568">
        <f t="shared" si="30"/>
        <v>11424</v>
      </c>
      <c r="J114" s="455" t="s">
        <v>225</v>
      </c>
    </row>
    <row r="115" spans="1:10" hidden="1" x14ac:dyDescent="0.3">
      <c r="A115" s="455" t="s">
        <v>364</v>
      </c>
      <c r="B115" s="455" t="s">
        <v>97</v>
      </c>
      <c r="C115" s="539" t="s">
        <v>197</v>
      </c>
      <c r="D115" s="539">
        <v>6.12</v>
      </c>
      <c r="E115" s="567">
        <v>30902</v>
      </c>
      <c r="F115" s="568">
        <f t="shared" si="31"/>
        <v>30902</v>
      </c>
      <c r="G115" s="568">
        <f t="shared" si="29"/>
        <v>32793</v>
      </c>
      <c r="H115" s="568">
        <f t="shared" si="23"/>
        <v>33777</v>
      </c>
      <c r="I115" s="568">
        <f t="shared" si="30"/>
        <v>2815</v>
      </c>
      <c r="J115" s="455" t="s">
        <v>257</v>
      </c>
    </row>
    <row r="116" spans="1:10" hidden="1" x14ac:dyDescent="0.3">
      <c r="A116" s="455" t="s">
        <v>365</v>
      </c>
      <c r="B116" s="455" t="s">
        <v>125</v>
      </c>
      <c r="C116" s="539" t="s">
        <v>197</v>
      </c>
      <c r="D116" s="539">
        <v>6.12</v>
      </c>
      <c r="E116" s="567">
        <v>170000</v>
      </c>
      <c r="F116" s="569">
        <f>ROUND(E116/C116*12,0)</f>
        <v>170000</v>
      </c>
      <c r="G116" s="569">
        <f>ROUND(F116*(1+(D116/100)),0)</f>
        <v>180404</v>
      </c>
      <c r="H116" s="569">
        <f>ROUND(G116*(1+(COLA/100)),0)</f>
        <v>185816</v>
      </c>
      <c r="I116" s="569">
        <f>ROUND(H116/12,0)</f>
        <v>15485</v>
      </c>
      <c r="J116" s="455" t="s">
        <v>366</v>
      </c>
    </row>
    <row r="117" spans="1:10" hidden="1" x14ac:dyDescent="0.3">
      <c r="A117" s="455" t="s">
        <v>367</v>
      </c>
      <c r="B117" s="455" t="s">
        <v>93</v>
      </c>
      <c r="C117" s="539" t="s">
        <v>197</v>
      </c>
      <c r="D117" s="539">
        <v>6.12</v>
      </c>
      <c r="E117" s="567">
        <v>80331</v>
      </c>
      <c r="F117" s="569">
        <f>ROUND(E117/C117*12,0)</f>
        <v>80331</v>
      </c>
      <c r="G117" s="569">
        <f>ROUND(F117*(1+(D117/100)),0)</f>
        <v>85247</v>
      </c>
      <c r="H117" s="569">
        <f>ROUND(G117*(1+(COLA/100)),0)</f>
        <v>87804</v>
      </c>
      <c r="I117" s="569">
        <f>ROUND(H117/12,0)</f>
        <v>7317</v>
      </c>
      <c r="J117" s="455" t="s">
        <v>314</v>
      </c>
    </row>
    <row r="118" spans="1:10" hidden="1" x14ac:dyDescent="0.3">
      <c r="A118" s="455" t="s">
        <v>368</v>
      </c>
      <c r="B118" s="455" t="s">
        <v>146</v>
      </c>
      <c r="C118" s="539" t="s">
        <v>197</v>
      </c>
      <c r="D118" s="539">
        <v>6.12</v>
      </c>
      <c r="E118" s="567">
        <v>64666</v>
      </c>
      <c r="F118" s="568">
        <f t="shared" si="31"/>
        <v>64666</v>
      </c>
      <c r="G118" s="568">
        <f t="shared" si="29"/>
        <v>68624</v>
      </c>
      <c r="H118" s="568">
        <f t="shared" si="23"/>
        <v>70683</v>
      </c>
      <c r="I118" s="568">
        <f t="shared" si="30"/>
        <v>5890</v>
      </c>
      <c r="J118" s="455" t="s">
        <v>307</v>
      </c>
    </row>
    <row r="119" spans="1:10" hidden="1" x14ac:dyDescent="0.3">
      <c r="A119" s="455" t="s">
        <v>369</v>
      </c>
      <c r="B119" s="455" t="s">
        <v>146</v>
      </c>
      <c r="C119" s="539" t="s">
        <v>197</v>
      </c>
      <c r="D119" s="539">
        <v>6.12</v>
      </c>
      <c r="E119" s="567">
        <v>41932</v>
      </c>
      <c r="F119" s="569">
        <f t="shared" ref="F119" si="32">ROUND(E119/C119*12,0)</f>
        <v>41932</v>
      </c>
      <c r="G119" s="569">
        <f t="shared" ref="G119" si="33">ROUND(F119*(1+(D119/100)),0)</f>
        <v>44498</v>
      </c>
      <c r="H119" s="569">
        <f t="shared" ref="H119" si="34">ROUND(G119*(1+(COLA/100)),0)</f>
        <v>45833</v>
      </c>
      <c r="I119" s="569">
        <f t="shared" ref="I119" si="35">ROUND(H119/12,0)</f>
        <v>3819</v>
      </c>
      <c r="J119" s="455" t="s">
        <v>255</v>
      </c>
    </row>
    <row r="120" spans="1:10" hidden="1" x14ac:dyDescent="0.3">
      <c r="A120" s="455" t="s">
        <v>370</v>
      </c>
      <c r="B120" s="455" t="s">
        <v>1069</v>
      </c>
      <c r="C120" s="539" t="s">
        <v>197</v>
      </c>
      <c r="D120" s="539">
        <v>6.12</v>
      </c>
      <c r="E120" s="567">
        <v>27138.99</v>
      </c>
      <c r="F120" s="568">
        <f t="shared" si="31"/>
        <v>27139</v>
      </c>
      <c r="G120" s="568">
        <f t="shared" si="29"/>
        <v>28800</v>
      </c>
      <c r="H120" s="568">
        <f t="shared" si="23"/>
        <v>29664</v>
      </c>
      <c r="I120" s="568">
        <f t="shared" si="30"/>
        <v>2472</v>
      </c>
      <c r="J120" s="455" t="s">
        <v>221</v>
      </c>
    </row>
    <row r="121" spans="1:10" hidden="1" x14ac:dyDescent="0.3">
      <c r="A121" s="455" t="s">
        <v>371</v>
      </c>
      <c r="B121" s="455" t="s">
        <v>119</v>
      </c>
      <c r="C121" s="539" t="s">
        <v>200</v>
      </c>
      <c r="D121" s="539" t="s">
        <v>201</v>
      </c>
      <c r="E121" s="567">
        <v>61478</v>
      </c>
      <c r="F121" s="568">
        <f t="shared" si="31"/>
        <v>81971</v>
      </c>
      <c r="G121" s="568">
        <f t="shared" si="29"/>
        <v>81971</v>
      </c>
      <c r="H121" s="568">
        <f t="shared" si="23"/>
        <v>84430</v>
      </c>
      <c r="I121" s="568">
        <f t="shared" si="30"/>
        <v>7036</v>
      </c>
      <c r="J121" s="455" t="s">
        <v>219</v>
      </c>
    </row>
    <row r="122" spans="1:10" hidden="1" x14ac:dyDescent="0.3">
      <c r="A122" s="455" t="s">
        <v>372</v>
      </c>
      <c r="B122" s="455" t="s">
        <v>146</v>
      </c>
      <c r="C122" s="539" t="s">
        <v>197</v>
      </c>
      <c r="D122" s="539">
        <v>6.12</v>
      </c>
      <c r="E122" s="567">
        <v>60625</v>
      </c>
      <c r="F122" s="569">
        <f>ROUND(E122/C122*12,0)</f>
        <v>60625</v>
      </c>
      <c r="G122" s="569">
        <f t="shared" si="29"/>
        <v>64335</v>
      </c>
      <c r="H122" s="569">
        <f t="shared" si="23"/>
        <v>66265</v>
      </c>
      <c r="I122" s="569">
        <f t="shared" si="30"/>
        <v>5522</v>
      </c>
      <c r="J122" s="455" t="s">
        <v>373</v>
      </c>
    </row>
    <row r="123" spans="1:10" hidden="1" x14ac:dyDescent="0.3">
      <c r="A123" s="455" t="s">
        <v>374</v>
      </c>
      <c r="B123" s="455" t="s">
        <v>117</v>
      </c>
      <c r="C123" s="539" t="s">
        <v>197</v>
      </c>
      <c r="D123" s="539">
        <v>6.12</v>
      </c>
      <c r="E123" s="567">
        <v>35598.17</v>
      </c>
      <c r="F123" s="568">
        <f t="shared" si="31"/>
        <v>35598</v>
      </c>
      <c r="G123" s="568">
        <f t="shared" si="29"/>
        <v>37777</v>
      </c>
      <c r="H123" s="568">
        <f t="shared" si="23"/>
        <v>38910</v>
      </c>
      <c r="I123" s="568">
        <f t="shared" si="30"/>
        <v>3243</v>
      </c>
      <c r="J123" s="455" t="s">
        <v>233</v>
      </c>
    </row>
    <row r="124" spans="1:10" hidden="1" x14ac:dyDescent="0.3">
      <c r="A124" s="455" t="s">
        <v>375</v>
      </c>
      <c r="B124" s="455" t="s">
        <v>104</v>
      </c>
      <c r="C124" s="539" t="s">
        <v>200</v>
      </c>
      <c r="D124" s="539" t="s">
        <v>201</v>
      </c>
      <c r="E124" s="567">
        <v>75428</v>
      </c>
      <c r="F124" s="568">
        <f t="shared" si="31"/>
        <v>100571</v>
      </c>
      <c r="G124" s="568">
        <f t="shared" si="29"/>
        <v>100571</v>
      </c>
      <c r="H124" s="568">
        <f t="shared" si="23"/>
        <v>103588</v>
      </c>
      <c r="I124" s="568">
        <f t="shared" si="30"/>
        <v>8632</v>
      </c>
      <c r="J124" s="455" t="s">
        <v>225</v>
      </c>
    </row>
    <row r="125" spans="1:10" hidden="1" x14ac:dyDescent="0.3">
      <c r="A125" s="455" t="s">
        <v>376</v>
      </c>
      <c r="B125" s="455" t="s">
        <v>1069</v>
      </c>
      <c r="C125" s="539" t="s">
        <v>197</v>
      </c>
      <c r="D125" s="539">
        <v>6.12</v>
      </c>
      <c r="E125" s="567">
        <v>34119.449999999997</v>
      </c>
      <c r="F125" s="568">
        <f t="shared" si="31"/>
        <v>34119</v>
      </c>
      <c r="G125" s="568">
        <f t="shared" si="29"/>
        <v>36207</v>
      </c>
      <c r="H125" s="568">
        <f t="shared" si="23"/>
        <v>37293</v>
      </c>
      <c r="I125" s="568">
        <f t="shared" si="30"/>
        <v>3108</v>
      </c>
      <c r="J125" s="455" t="s">
        <v>233</v>
      </c>
    </row>
    <row r="126" spans="1:10" hidden="1" x14ac:dyDescent="0.3">
      <c r="A126" s="455" t="s">
        <v>377</v>
      </c>
      <c r="B126" s="455" t="s">
        <v>144</v>
      </c>
      <c r="C126" s="539" t="s">
        <v>197</v>
      </c>
      <c r="D126" s="539">
        <v>6.12</v>
      </c>
      <c r="E126" s="567">
        <v>60624</v>
      </c>
      <c r="F126" s="568">
        <f t="shared" si="31"/>
        <v>60624</v>
      </c>
      <c r="G126" s="568">
        <f t="shared" si="29"/>
        <v>64334</v>
      </c>
      <c r="H126" s="568">
        <f t="shared" ref="H126:H180" si="36">ROUND(G126*(1+(COLA/100)),0)</f>
        <v>66264</v>
      </c>
      <c r="I126" s="568">
        <f t="shared" si="30"/>
        <v>5522</v>
      </c>
      <c r="J126" s="455" t="s">
        <v>329</v>
      </c>
    </row>
    <row r="127" spans="1:10" hidden="1" x14ac:dyDescent="0.3">
      <c r="A127" s="455" t="s">
        <v>378</v>
      </c>
      <c r="B127" s="455" t="s">
        <v>132</v>
      </c>
      <c r="C127" s="539" t="s">
        <v>197</v>
      </c>
      <c r="D127" s="539">
        <v>6.12</v>
      </c>
      <c r="E127" s="567">
        <v>67242</v>
      </c>
      <c r="F127" s="568">
        <f t="shared" si="31"/>
        <v>67242</v>
      </c>
      <c r="G127" s="568">
        <f t="shared" si="29"/>
        <v>71357</v>
      </c>
      <c r="H127" s="568">
        <f t="shared" si="36"/>
        <v>73498</v>
      </c>
      <c r="I127" s="568">
        <f t="shared" si="30"/>
        <v>6125</v>
      </c>
      <c r="J127" s="455" t="s">
        <v>198</v>
      </c>
    </row>
    <row r="128" spans="1:10" hidden="1" x14ac:dyDescent="0.3">
      <c r="A128" s="455" t="s">
        <v>379</v>
      </c>
      <c r="B128" s="455" t="s">
        <v>142</v>
      </c>
      <c r="C128" s="539" t="s">
        <v>197</v>
      </c>
      <c r="D128" s="539">
        <v>6.12</v>
      </c>
      <c r="E128" s="567">
        <v>46384.18</v>
      </c>
      <c r="F128" s="568">
        <f t="shared" si="31"/>
        <v>46384</v>
      </c>
      <c r="G128" s="568">
        <f t="shared" si="29"/>
        <v>49223</v>
      </c>
      <c r="H128" s="568">
        <f t="shared" si="36"/>
        <v>50700</v>
      </c>
      <c r="I128" s="568">
        <f t="shared" si="30"/>
        <v>4225</v>
      </c>
      <c r="J128" s="455" t="s">
        <v>380</v>
      </c>
    </row>
    <row r="129" spans="1:10" hidden="1" x14ac:dyDescent="0.3">
      <c r="A129" s="455" t="s">
        <v>381</v>
      </c>
      <c r="B129" s="455" t="s">
        <v>1061</v>
      </c>
      <c r="C129" s="539" t="s">
        <v>200</v>
      </c>
      <c r="D129" s="539" t="s">
        <v>201</v>
      </c>
      <c r="E129" s="567">
        <v>89295</v>
      </c>
      <c r="F129" s="568">
        <f t="shared" si="31"/>
        <v>119060</v>
      </c>
      <c r="G129" s="568">
        <f t="shared" si="29"/>
        <v>119060</v>
      </c>
      <c r="H129" s="568">
        <f t="shared" si="36"/>
        <v>122632</v>
      </c>
      <c r="I129" s="568">
        <f t="shared" si="30"/>
        <v>10219</v>
      </c>
      <c r="J129" s="455" t="s">
        <v>219</v>
      </c>
    </row>
    <row r="130" spans="1:10" hidden="1" x14ac:dyDescent="0.3">
      <c r="A130" s="455" t="s">
        <v>382</v>
      </c>
      <c r="B130" s="455" t="s">
        <v>144</v>
      </c>
      <c r="C130" s="539" t="s">
        <v>197</v>
      </c>
      <c r="D130" s="539">
        <v>6.12</v>
      </c>
      <c r="E130" s="567">
        <v>29074.38</v>
      </c>
      <c r="F130" s="568">
        <f t="shared" si="31"/>
        <v>29074</v>
      </c>
      <c r="G130" s="568">
        <f t="shared" si="29"/>
        <v>30853</v>
      </c>
      <c r="H130" s="568">
        <f t="shared" si="36"/>
        <v>31779</v>
      </c>
      <c r="I130" s="568">
        <f t="shared" si="30"/>
        <v>2648</v>
      </c>
      <c r="J130" s="455" t="s">
        <v>302</v>
      </c>
    </row>
    <row r="131" spans="1:10" hidden="1" x14ac:dyDescent="0.3">
      <c r="A131" s="455" t="s">
        <v>383</v>
      </c>
      <c r="B131" s="455" t="s">
        <v>125</v>
      </c>
      <c r="C131" s="539" t="s">
        <v>197</v>
      </c>
      <c r="D131" s="539">
        <v>8.33</v>
      </c>
      <c r="E131" s="567">
        <v>33858.49</v>
      </c>
      <c r="F131" s="568">
        <f t="shared" si="31"/>
        <v>33858</v>
      </c>
      <c r="G131" s="568">
        <f t="shared" si="29"/>
        <v>36678</v>
      </c>
      <c r="H131" s="568">
        <f t="shared" si="36"/>
        <v>37778</v>
      </c>
      <c r="I131" s="568">
        <f t="shared" si="30"/>
        <v>3148</v>
      </c>
      <c r="J131" s="455" t="s">
        <v>233</v>
      </c>
    </row>
    <row r="132" spans="1:10" hidden="1" x14ac:dyDescent="0.3">
      <c r="A132" s="455" t="s">
        <v>384</v>
      </c>
      <c r="B132" s="455" t="s">
        <v>122</v>
      </c>
      <c r="C132" s="539" t="s">
        <v>197</v>
      </c>
      <c r="D132" s="539">
        <v>8.33</v>
      </c>
      <c r="E132" s="567">
        <v>78674.05</v>
      </c>
      <c r="F132" s="568">
        <f t="shared" si="31"/>
        <v>78674</v>
      </c>
      <c r="G132" s="568">
        <f t="shared" si="29"/>
        <v>85228</v>
      </c>
      <c r="H132" s="568">
        <f t="shared" si="36"/>
        <v>87785</v>
      </c>
      <c r="I132" s="568">
        <f t="shared" si="30"/>
        <v>7315</v>
      </c>
      <c r="J132" s="455" t="s">
        <v>236</v>
      </c>
    </row>
    <row r="133" spans="1:10" hidden="1" x14ac:dyDescent="0.3">
      <c r="A133" s="455" t="s">
        <v>385</v>
      </c>
      <c r="B133" s="455" t="s">
        <v>93</v>
      </c>
      <c r="C133" s="539" t="s">
        <v>197</v>
      </c>
      <c r="D133" s="539">
        <v>6.12</v>
      </c>
      <c r="E133" s="567">
        <v>89463</v>
      </c>
      <c r="F133" s="568">
        <f>ROUND(E133/C133*12,0)</f>
        <v>89463</v>
      </c>
      <c r="G133" s="568">
        <f>ROUND(F133*(1+(D133/100)),0)</f>
        <v>94938</v>
      </c>
      <c r="H133" s="568">
        <f>ROUND(G133*(1+(COLA/100)),0)</f>
        <v>97786</v>
      </c>
      <c r="I133" s="568">
        <f>ROUND(H133/12,0)</f>
        <v>8149</v>
      </c>
      <c r="J133" s="455" t="s">
        <v>386</v>
      </c>
    </row>
    <row r="134" spans="1:10" hidden="1" x14ac:dyDescent="0.3">
      <c r="A134" s="455" t="s">
        <v>387</v>
      </c>
      <c r="B134" s="455" t="s">
        <v>1061</v>
      </c>
      <c r="C134" s="539" t="s">
        <v>200</v>
      </c>
      <c r="D134" s="539" t="s">
        <v>201</v>
      </c>
      <c r="E134" s="567">
        <v>94913</v>
      </c>
      <c r="F134" s="568">
        <f t="shared" si="31"/>
        <v>126551</v>
      </c>
      <c r="G134" s="568">
        <f t="shared" si="29"/>
        <v>126551</v>
      </c>
      <c r="H134" s="568">
        <f t="shared" si="36"/>
        <v>130348</v>
      </c>
      <c r="I134" s="568">
        <f t="shared" si="30"/>
        <v>10862</v>
      </c>
      <c r="J134" s="455" t="s">
        <v>225</v>
      </c>
    </row>
    <row r="135" spans="1:10" hidden="1" x14ac:dyDescent="0.3">
      <c r="A135" s="455" t="s">
        <v>388</v>
      </c>
      <c r="B135" s="455" t="s">
        <v>144</v>
      </c>
      <c r="C135" s="539" t="s">
        <v>197</v>
      </c>
      <c r="D135" s="539">
        <v>6.12</v>
      </c>
      <c r="E135" s="567">
        <v>51062.52</v>
      </c>
      <c r="F135" s="568">
        <f t="shared" si="31"/>
        <v>51063</v>
      </c>
      <c r="G135" s="568">
        <f t="shared" si="29"/>
        <v>54188</v>
      </c>
      <c r="H135" s="568">
        <f t="shared" si="36"/>
        <v>55814</v>
      </c>
      <c r="I135" s="568">
        <f t="shared" si="30"/>
        <v>4651</v>
      </c>
      <c r="J135" s="455" t="s">
        <v>329</v>
      </c>
    </row>
    <row r="136" spans="1:10" hidden="1" x14ac:dyDescent="0.3">
      <c r="A136" s="455" t="s">
        <v>389</v>
      </c>
      <c r="B136" s="455" t="s">
        <v>119</v>
      </c>
      <c r="C136" s="539" t="s">
        <v>200</v>
      </c>
      <c r="D136" s="539" t="s">
        <v>201</v>
      </c>
      <c r="E136" s="567">
        <v>33107.69</v>
      </c>
      <c r="F136" s="569">
        <f t="shared" ref="F136" si="37">ROUND(E136/C136*12,0)</f>
        <v>44144</v>
      </c>
      <c r="G136" s="569">
        <f t="shared" ref="G136" si="38">ROUND(F136*(1+(D136/100)),0)</f>
        <v>44144</v>
      </c>
      <c r="H136" s="569">
        <f t="shared" ref="H136" si="39">ROUND(G136*(1+(COLA/100)),0)</f>
        <v>45468</v>
      </c>
      <c r="I136" s="569">
        <f t="shared" ref="I136" si="40">ROUND(H136/12,0)</f>
        <v>3789</v>
      </c>
      <c r="J136" s="455" t="s">
        <v>390</v>
      </c>
    </row>
    <row r="137" spans="1:10" hidden="1" x14ac:dyDescent="0.3">
      <c r="A137" s="455" t="s">
        <v>391</v>
      </c>
      <c r="B137" s="455" t="s">
        <v>119</v>
      </c>
      <c r="C137" s="539" t="s">
        <v>200</v>
      </c>
      <c r="D137" s="539" t="s">
        <v>201</v>
      </c>
      <c r="E137" s="567">
        <v>59129</v>
      </c>
      <c r="F137" s="568">
        <f t="shared" si="31"/>
        <v>78839</v>
      </c>
      <c r="G137" s="568">
        <f t="shared" si="29"/>
        <v>78839</v>
      </c>
      <c r="H137" s="568">
        <f t="shared" si="36"/>
        <v>81204</v>
      </c>
      <c r="I137" s="568">
        <f t="shared" si="30"/>
        <v>6767</v>
      </c>
      <c r="J137" s="455" t="s">
        <v>225</v>
      </c>
    </row>
    <row r="138" spans="1:10" hidden="1" x14ac:dyDescent="0.3">
      <c r="A138" s="455" t="s">
        <v>392</v>
      </c>
      <c r="B138" s="455" t="s">
        <v>1069</v>
      </c>
      <c r="C138" s="539" t="s">
        <v>197</v>
      </c>
      <c r="D138" s="539">
        <v>6.12</v>
      </c>
      <c r="E138" s="567">
        <v>30031.200000000001</v>
      </c>
      <c r="F138" s="569">
        <f t="shared" si="31"/>
        <v>30031</v>
      </c>
      <c r="G138" s="569">
        <f t="shared" si="29"/>
        <v>31869</v>
      </c>
      <c r="H138" s="569">
        <f t="shared" si="36"/>
        <v>32825</v>
      </c>
      <c r="I138" s="569">
        <f t="shared" si="30"/>
        <v>2735</v>
      </c>
      <c r="J138" s="455" t="s">
        <v>393</v>
      </c>
    </row>
    <row r="139" spans="1:10" hidden="1" x14ac:dyDescent="0.3">
      <c r="A139" s="455" t="s">
        <v>394</v>
      </c>
      <c r="B139" s="455" t="s">
        <v>1069</v>
      </c>
      <c r="C139" s="539" t="s">
        <v>197</v>
      </c>
      <c r="D139" s="539">
        <v>6.12</v>
      </c>
      <c r="E139" s="567">
        <v>49994.01</v>
      </c>
      <c r="F139" s="568">
        <f t="shared" si="31"/>
        <v>49994</v>
      </c>
      <c r="G139" s="568">
        <f t="shared" si="29"/>
        <v>53054</v>
      </c>
      <c r="H139" s="568">
        <f t="shared" si="36"/>
        <v>54646</v>
      </c>
      <c r="I139" s="568">
        <f t="shared" si="30"/>
        <v>4554</v>
      </c>
      <c r="J139" s="455" t="s">
        <v>229</v>
      </c>
    </row>
    <row r="140" spans="1:10" hidden="1" x14ac:dyDescent="0.3">
      <c r="A140" s="455" t="s">
        <v>395</v>
      </c>
      <c r="B140" s="455" t="s">
        <v>126</v>
      </c>
      <c r="C140" s="539" t="s">
        <v>200</v>
      </c>
      <c r="D140" s="539" t="s">
        <v>201</v>
      </c>
      <c r="E140" s="567">
        <v>90114</v>
      </c>
      <c r="F140" s="569">
        <f t="shared" si="31"/>
        <v>120152</v>
      </c>
      <c r="G140" s="569">
        <f t="shared" si="29"/>
        <v>120152</v>
      </c>
      <c r="H140" s="569">
        <f t="shared" si="36"/>
        <v>123757</v>
      </c>
      <c r="I140" s="569">
        <f t="shared" si="30"/>
        <v>10313</v>
      </c>
      <c r="J140" s="455" t="s">
        <v>225</v>
      </c>
    </row>
    <row r="141" spans="1:10" hidden="1" x14ac:dyDescent="0.3">
      <c r="A141" s="455" t="s">
        <v>396</v>
      </c>
      <c r="B141" s="455" t="s">
        <v>120</v>
      </c>
      <c r="C141" s="539" t="s">
        <v>200</v>
      </c>
      <c r="D141" s="539" t="s">
        <v>201</v>
      </c>
      <c r="E141" s="567">
        <v>86597</v>
      </c>
      <c r="F141" s="568">
        <f t="shared" si="31"/>
        <v>115463</v>
      </c>
      <c r="G141" s="568">
        <f t="shared" si="29"/>
        <v>115463</v>
      </c>
      <c r="H141" s="568">
        <f t="shared" si="36"/>
        <v>118927</v>
      </c>
      <c r="I141" s="568">
        <f t="shared" si="30"/>
        <v>9911</v>
      </c>
      <c r="J141" s="455" t="s">
        <v>225</v>
      </c>
    </row>
    <row r="142" spans="1:10" hidden="1" x14ac:dyDescent="0.3">
      <c r="A142" s="455" t="s">
        <v>397</v>
      </c>
      <c r="B142" s="455" t="s">
        <v>97</v>
      </c>
      <c r="C142" s="539" t="s">
        <v>197</v>
      </c>
      <c r="D142" s="539">
        <v>6.12</v>
      </c>
      <c r="E142" s="567">
        <v>57187</v>
      </c>
      <c r="F142" s="568">
        <f t="shared" si="31"/>
        <v>57187</v>
      </c>
      <c r="G142" s="568">
        <f t="shared" si="29"/>
        <v>60687</v>
      </c>
      <c r="H142" s="568">
        <f t="shared" si="36"/>
        <v>62508</v>
      </c>
      <c r="I142" s="568">
        <f t="shared" si="30"/>
        <v>5209</v>
      </c>
      <c r="J142" s="455" t="s">
        <v>398</v>
      </c>
    </row>
    <row r="143" spans="1:10" hidden="1" x14ac:dyDescent="0.3">
      <c r="A143" s="455" t="s">
        <v>399</v>
      </c>
      <c r="B143" s="455" t="s">
        <v>1063</v>
      </c>
      <c r="C143" s="539" t="s">
        <v>200</v>
      </c>
      <c r="D143" s="539" t="s">
        <v>201</v>
      </c>
      <c r="E143" s="567">
        <v>102493</v>
      </c>
      <c r="F143" s="568">
        <f>ROUND(E143/C143*12,0)</f>
        <v>136657</v>
      </c>
      <c r="G143" s="568">
        <f>ROUND(F143*(1+(D143/100)),0)</f>
        <v>136657</v>
      </c>
      <c r="H143" s="568">
        <f>ROUND(G143*(1+(COLA/100)),0)</f>
        <v>140757</v>
      </c>
      <c r="I143" s="568">
        <f>ROUND(H143/12,0)</f>
        <v>11730</v>
      </c>
      <c r="J143" s="455" t="s">
        <v>202</v>
      </c>
    </row>
    <row r="144" spans="1:10" hidden="1" x14ac:dyDescent="0.3">
      <c r="A144" s="455" t="s">
        <v>400</v>
      </c>
      <c r="B144" s="455" t="s">
        <v>1069</v>
      </c>
      <c r="C144" s="539" t="s">
        <v>197</v>
      </c>
      <c r="D144" s="539">
        <v>6.12</v>
      </c>
      <c r="E144" s="567">
        <v>35598.17</v>
      </c>
      <c r="F144" s="568">
        <f t="shared" si="31"/>
        <v>35598</v>
      </c>
      <c r="G144" s="568">
        <f t="shared" si="29"/>
        <v>37777</v>
      </c>
      <c r="H144" s="568">
        <f t="shared" si="36"/>
        <v>38910</v>
      </c>
      <c r="I144" s="568">
        <f t="shared" si="30"/>
        <v>3243</v>
      </c>
      <c r="J144" s="455" t="s">
        <v>401</v>
      </c>
    </row>
    <row r="145" spans="1:10" hidden="1" x14ac:dyDescent="0.3">
      <c r="A145" s="455" t="s">
        <v>402</v>
      </c>
      <c r="B145" s="455" t="s">
        <v>136</v>
      </c>
      <c r="C145" s="539" t="s">
        <v>197</v>
      </c>
      <c r="D145" s="539">
        <v>6.12</v>
      </c>
      <c r="E145" s="567">
        <v>36989.49</v>
      </c>
      <c r="F145" s="568">
        <f t="shared" si="31"/>
        <v>36989</v>
      </c>
      <c r="G145" s="568">
        <f t="shared" si="29"/>
        <v>39253</v>
      </c>
      <c r="H145" s="568">
        <f t="shared" si="36"/>
        <v>40431</v>
      </c>
      <c r="I145" s="568">
        <f t="shared" si="30"/>
        <v>3369</v>
      </c>
      <c r="J145" s="455" t="s">
        <v>261</v>
      </c>
    </row>
    <row r="146" spans="1:10" hidden="1" x14ac:dyDescent="0.3">
      <c r="A146" s="455" t="s">
        <v>403</v>
      </c>
      <c r="B146" s="455" t="s">
        <v>107</v>
      </c>
      <c r="C146" s="539" t="s">
        <v>197</v>
      </c>
      <c r="D146" s="539">
        <v>6.12</v>
      </c>
      <c r="E146" s="567">
        <v>54958</v>
      </c>
      <c r="F146" s="568">
        <f t="shared" si="31"/>
        <v>54958</v>
      </c>
      <c r="G146" s="568">
        <f t="shared" si="29"/>
        <v>58321</v>
      </c>
      <c r="H146" s="568">
        <f t="shared" si="36"/>
        <v>60071</v>
      </c>
      <c r="I146" s="568">
        <f t="shared" si="30"/>
        <v>5006</v>
      </c>
      <c r="J146" s="455" t="s">
        <v>277</v>
      </c>
    </row>
    <row r="147" spans="1:10" hidden="1" x14ac:dyDescent="0.3">
      <c r="A147" s="455" t="s">
        <v>404</v>
      </c>
      <c r="B147" s="455" t="s">
        <v>107</v>
      </c>
      <c r="C147" s="539">
        <v>12</v>
      </c>
      <c r="D147" s="539">
        <v>6.12</v>
      </c>
      <c r="E147" s="567">
        <v>55572</v>
      </c>
      <c r="F147" s="568">
        <f t="shared" si="31"/>
        <v>55572</v>
      </c>
      <c r="G147" s="568">
        <f t="shared" si="29"/>
        <v>58973</v>
      </c>
      <c r="H147" s="568">
        <f t="shared" ref="H147" si="41">ROUND(G147*(1+(COLA/100)),0)</f>
        <v>60742</v>
      </c>
      <c r="I147" s="568">
        <f t="shared" si="30"/>
        <v>5062</v>
      </c>
      <c r="J147" s="455" t="s">
        <v>405</v>
      </c>
    </row>
    <row r="148" spans="1:10" hidden="1" x14ac:dyDescent="0.3">
      <c r="A148" s="455" t="s">
        <v>406</v>
      </c>
      <c r="B148" s="455" t="s">
        <v>1061</v>
      </c>
      <c r="C148" s="539" t="s">
        <v>200</v>
      </c>
      <c r="D148" s="539" t="s">
        <v>201</v>
      </c>
      <c r="E148" s="567">
        <v>98394</v>
      </c>
      <c r="F148" s="568">
        <f t="shared" si="31"/>
        <v>131192</v>
      </c>
      <c r="G148" s="568">
        <f t="shared" si="29"/>
        <v>131192</v>
      </c>
      <c r="H148" s="568">
        <f t="shared" si="36"/>
        <v>135128</v>
      </c>
      <c r="I148" s="568">
        <f t="shared" si="30"/>
        <v>11261</v>
      </c>
      <c r="J148" s="455" t="s">
        <v>225</v>
      </c>
    </row>
    <row r="149" spans="1:10" hidden="1" x14ac:dyDescent="0.3">
      <c r="A149" s="455" t="s">
        <v>407</v>
      </c>
      <c r="B149" s="455" t="s">
        <v>114</v>
      </c>
      <c r="C149" s="539" t="s">
        <v>200</v>
      </c>
      <c r="D149" s="539" t="s">
        <v>201</v>
      </c>
      <c r="E149" s="567">
        <v>85987</v>
      </c>
      <c r="F149" s="568">
        <f t="shared" si="31"/>
        <v>114649</v>
      </c>
      <c r="G149" s="568">
        <f t="shared" si="29"/>
        <v>114649</v>
      </c>
      <c r="H149" s="568">
        <f t="shared" si="36"/>
        <v>118088</v>
      </c>
      <c r="I149" s="568">
        <f t="shared" si="30"/>
        <v>9841</v>
      </c>
      <c r="J149" s="455" t="s">
        <v>225</v>
      </c>
    </row>
    <row r="150" spans="1:10" hidden="1" x14ac:dyDescent="0.3">
      <c r="A150" s="455" t="s">
        <v>408</v>
      </c>
      <c r="B150" s="455" t="s">
        <v>114</v>
      </c>
      <c r="C150" s="539" t="s">
        <v>200</v>
      </c>
      <c r="D150" s="539" t="s">
        <v>201</v>
      </c>
      <c r="E150" s="567">
        <v>77212</v>
      </c>
      <c r="F150" s="568">
        <f t="shared" si="31"/>
        <v>102949</v>
      </c>
      <c r="G150" s="568">
        <f t="shared" si="29"/>
        <v>102949</v>
      </c>
      <c r="H150" s="568">
        <f t="shared" si="36"/>
        <v>106037</v>
      </c>
      <c r="I150" s="568">
        <f t="shared" si="30"/>
        <v>8836</v>
      </c>
      <c r="J150" s="455" t="s">
        <v>219</v>
      </c>
    </row>
    <row r="151" spans="1:10" hidden="1" x14ac:dyDescent="0.3">
      <c r="A151" s="455" t="s">
        <v>409</v>
      </c>
      <c r="B151" s="455" t="s">
        <v>126</v>
      </c>
      <c r="C151" s="539" t="s">
        <v>200</v>
      </c>
      <c r="D151" s="539" t="s">
        <v>201</v>
      </c>
      <c r="E151" s="567">
        <v>142901</v>
      </c>
      <c r="F151" s="568">
        <f t="shared" si="31"/>
        <v>190535</v>
      </c>
      <c r="G151" s="568">
        <f t="shared" si="29"/>
        <v>190535</v>
      </c>
      <c r="H151" s="568">
        <f t="shared" si="36"/>
        <v>196251</v>
      </c>
      <c r="I151" s="568">
        <f t="shared" si="30"/>
        <v>16354</v>
      </c>
      <c r="J151" s="455" t="s">
        <v>202</v>
      </c>
    </row>
    <row r="152" spans="1:10" hidden="1" x14ac:dyDescent="0.3">
      <c r="A152" s="455" t="s">
        <v>410</v>
      </c>
      <c r="B152" s="455" t="s">
        <v>120</v>
      </c>
      <c r="C152" s="539" t="s">
        <v>200</v>
      </c>
      <c r="D152" s="539" t="s">
        <v>201</v>
      </c>
      <c r="E152" s="567">
        <v>119999</v>
      </c>
      <c r="F152" s="568">
        <f t="shared" si="31"/>
        <v>159999</v>
      </c>
      <c r="G152" s="568">
        <f t="shared" si="29"/>
        <v>159999</v>
      </c>
      <c r="H152" s="568">
        <f t="shared" si="36"/>
        <v>164799</v>
      </c>
      <c r="I152" s="568">
        <f t="shared" si="30"/>
        <v>13733</v>
      </c>
      <c r="J152" s="455" t="s">
        <v>202</v>
      </c>
    </row>
    <row r="153" spans="1:10" hidden="1" x14ac:dyDescent="0.3">
      <c r="A153" s="455" t="s">
        <v>411</v>
      </c>
      <c r="B153" s="455" t="s">
        <v>100</v>
      </c>
      <c r="C153" s="539" t="s">
        <v>197</v>
      </c>
      <c r="D153" s="539">
        <v>8.33</v>
      </c>
      <c r="E153" s="567">
        <v>65892</v>
      </c>
      <c r="F153" s="568">
        <f t="shared" si="31"/>
        <v>65892</v>
      </c>
      <c r="G153" s="568">
        <f t="shared" si="29"/>
        <v>71381</v>
      </c>
      <c r="H153" s="568">
        <f t="shared" si="36"/>
        <v>73522</v>
      </c>
      <c r="I153" s="568">
        <f t="shared" si="30"/>
        <v>6127</v>
      </c>
      <c r="J153" s="455" t="s">
        <v>412</v>
      </c>
    </row>
    <row r="154" spans="1:10" hidden="1" x14ac:dyDescent="0.3">
      <c r="A154" s="455" t="s">
        <v>413</v>
      </c>
      <c r="B154" s="455" t="s">
        <v>1063</v>
      </c>
      <c r="C154" s="539" t="s">
        <v>200</v>
      </c>
      <c r="D154" s="539" t="s">
        <v>201</v>
      </c>
      <c r="E154" s="567">
        <v>89372</v>
      </c>
      <c r="F154" s="568">
        <f t="shared" si="31"/>
        <v>119163</v>
      </c>
      <c r="G154" s="568">
        <f t="shared" si="29"/>
        <v>119163</v>
      </c>
      <c r="H154" s="568">
        <f t="shared" si="36"/>
        <v>122738</v>
      </c>
      <c r="I154" s="568">
        <f t="shared" si="30"/>
        <v>10228</v>
      </c>
      <c r="J154" s="455" t="s">
        <v>225</v>
      </c>
    </row>
    <row r="155" spans="1:10" hidden="1" x14ac:dyDescent="0.3">
      <c r="A155" s="455" t="s">
        <v>414</v>
      </c>
      <c r="B155" s="455" t="s">
        <v>124</v>
      </c>
      <c r="C155" s="539" t="s">
        <v>200</v>
      </c>
      <c r="D155" s="539" t="s">
        <v>201</v>
      </c>
      <c r="E155" s="567">
        <v>63462</v>
      </c>
      <c r="F155" s="568">
        <f t="shared" si="31"/>
        <v>84616</v>
      </c>
      <c r="G155" s="568">
        <f t="shared" si="29"/>
        <v>84616</v>
      </c>
      <c r="H155" s="568">
        <f t="shared" si="36"/>
        <v>87154</v>
      </c>
      <c r="I155" s="568">
        <f t="shared" si="30"/>
        <v>7263</v>
      </c>
      <c r="J155" s="455" t="s">
        <v>250</v>
      </c>
    </row>
    <row r="156" spans="1:10" hidden="1" x14ac:dyDescent="0.3">
      <c r="A156" s="455" t="s">
        <v>415</v>
      </c>
      <c r="B156" s="455" t="s">
        <v>1069</v>
      </c>
      <c r="C156" s="539" t="s">
        <v>197</v>
      </c>
      <c r="D156" s="539">
        <v>6.12</v>
      </c>
      <c r="E156" s="567">
        <v>25125.919999999998</v>
      </c>
      <c r="F156" s="568">
        <f t="shared" si="31"/>
        <v>25126</v>
      </c>
      <c r="G156" s="568">
        <f t="shared" si="29"/>
        <v>26664</v>
      </c>
      <c r="H156" s="568">
        <f t="shared" si="36"/>
        <v>27464</v>
      </c>
      <c r="I156" s="568">
        <f t="shared" si="30"/>
        <v>2289</v>
      </c>
      <c r="J156" s="455" t="s">
        <v>221</v>
      </c>
    </row>
    <row r="157" spans="1:10" hidden="1" x14ac:dyDescent="0.3">
      <c r="A157" s="455" t="s">
        <v>416</v>
      </c>
      <c r="B157" s="455" t="s">
        <v>90</v>
      </c>
      <c r="C157" s="539" t="s">
        <v>197</v>
      </c>
      <c r="D157" s="539">
        <v>6.12</v>
      </c>
      <c r="E157" s="567">
        <v>73580</v>
      </c>
      <c r="F157" s="568">
        <f t="shared" si="31"/>
        <v>73580</v>
      </c>
      <c r="G157" s="568">
        <f t="shared" si="29"/>
        <v>78083</v>
      </c>
      <c r="H157" s="568">
        <f t="shared" si="36"/>
        <v>80425</v>
      </c>
      <c r="I157" s="568">
        <f t="shared" si="30"/>
        <v>6702</v>
      </c>
      <c r="J157" s="455" t="s">
        <v>417</v>
      </c>
    </row>
    <row r="158" spans="1:10" hidden="1" x14ac:dyDescent="0.3">
      <c r="A158" s="455" t="s">
        <v>418</v>
      </c>
      <c r="B158" s="455" t="s">
        <v>143</v>
      </c>
      <c r="C158" s="539" t="s">
        <v>197</v>
      </c>
      <c r="D158" s="539">
        <v>6.12</v>
      </c>
      <c r="E158" s="567">
        <v>174102</v>
      </c>
      <c r="F158" s="568">
        <f t="shared" si="31"/>
        <v>174102</v>
      </c>
      <c r="G158" s="568">
        <f t="shared" si="29"/>
        <v>184757</v>
      </c>
      <c r="H158" s="568">
        <f t="shared" si="36"/>
        <v>190300</v>
      </c>
      <c r="I158" s="568">
        <f t="shared" si="30"/>
        <v>15858</v>
      </c>
      <c r="J158" s="455" t="s">
        <v>419</v>
      </c>
    </row>
    <row r="159" spans="1:10" hidden="1" x14ac:dyDescent="0.3">
      <c r="A159" s="455" t="s">
        <v>420</v>
      </c>
      <c r="B159" s="455" t="s">
        <v>1063</v>
      </c>
      <c r="C159" s="539" t="s">
        <v>200</v>
      </c>
      <c r="D159" s="539" t="s">
        <v>201</v>
      </c>
      <c r="E159" s="567">
        <v>121037</v>
      </c>
      <c r="F159" s="568">
        <f t="shared" si="31"/>
        <v>161383</v>
      </c>
      <c r="G159" s="568">
        <f t="shared" si="29"/>
        <v>161383</v>
      </c>
      <c r="H159" s="568">
        <f t="shared" si="36"/>
        <v>166224</v>
      </c>
      <c r="I159" s="568">
        <f t="shared" si="30"/>
        <v>13852</v>
      </c>
      <c r="J159" s="455" t="s">
        <v>202</v>
      </c>
    </row>
    <row r="160" spans="1:10" hidden="1" x14ac:dyDescent="0.3">
      <c r="A160" s="455" t="s">
        <v>421</v>
      </c>
      <c r="B160" s="455" t="s">
        <v>120</v>
      </c>
      <c r="C160" s="539" t="s">
        <v>197</v>
      </c>
      <c r="D160" s="539">
        <v>8.33</v>
      </c>
      <c r="E160" s="567">
        <v>35598.17</v>
      </c>
      <c r="F160" s="568">
        <f t="shared" si="31"/>
        <v>35598</v>
      </c>
      <c r="G160" s="568">
        <f t="shared" si="29"/>
        <v>38563</v>
      </c>
      <c r="H160" s="568">
        <f t="shared" si="36"/>
        <v>39720</v>
      </c>
      <c r="I160" s="568">
        <f t="shared" si="30"/>
        <v>3310</v>
      </c>
      <c r="J160" s="455" t="s">
        <v>233</v>
      </c>
    </row>
    <row r="161" spans="1:12" hidden="1" x14ac:dyDescent="0.3">
      <c r="A161" s="455" t="s">
        <v>422</v>
      </c>
      <c r="B161" s="455" t="s">
        <v>119</v>
      </c>
      <c r="C161" s="539" t="s">
        <v>200</v>
      </c>
      <c r="D161" s="539" t="s">
        <v>201</v>
      </c>
      <c r="E161" s="567">
        <v>61478</v>
      </c>
      <c r="F161" s="568">
        <f t="shared" si="31"/>
        <v>81971</v>
      </c>
      <c r="G161" s="568">
        <f t="shared" si="29"/>
        <v>81971</v>
      </c>
      <c r="H161" s="568">
        <f t="shared" si="36"/>
        <v>84430</v>
      </c>
      <c r="I161" s="568">
        <f t="shared" si="30"/>
        <v>7036</v>
      </c>
      <c r="J161" s="455" t="s">
        <v>219</v>
      </c>
    </row>
    <row r="162" spans="1:12" hidden="1" x14ac:dyDescent="0.3">
      <c r="A162" s="455" t="s">
        <v>423</v>
      </c>
      <c r="B162" s="455" t="s">
        <v>134</v>
      </c>
      <c r="C162" s="539" t="s">
        <v>197</v>
      </c>
      <c r="D162" s="539">
        <v>8.33</v>
      </c>
      <c r="E162" s="567">
        <v>35598.17</v>
      </c>
      <c r="F162" s="569">
        <f t="shared" si="31"/>
        <v>35598</v>
      </c>
      <c r="G162" s="569">
        <f t="shared" si="29"/>
        <v>38563</v>
      </c>
      <c r="H162" s="569">
        <f t="shared" si="36"/>
        <v>39720</v>
      </c>
      <c r="I162" s="569">
        <f t="shared" si="30"/>
        <v>3310</v>
      </c>
      <c r="J162" s="455" t="s">
        <v>233</v>
      </c>
    </row>
    <row r="163" spans="1:12" hidden="1" x14ac:dyDescent="0.3">
      <c r="A163" s="455" t="s">
        <v>424</v>
      </c>
      <c r="B163" s="455" t="s">
        <v>144</v>
      </c>
      <c r="C163" s="539" t="s">
        <v>197</v>
      </c>
      <c r="D163" s="539">
        <v>6.12</v>
      </c>
      <c r="E163" s="567">
        <v>44544</v>
      </c>
      <c r="F163" s="568">
        <f t="shared" si="31"/>
        <v>44544</v>
      </c>
      <c r="G163" s="568">
        <f t="shared" si="29"/>
        <v>47270</v>
      </c>
      <c r="H163" s="568">
        <f t="shared" si="36"/>
        <v>48688</v>
      </c>
      <c r="I163" s="568">
        <f t="shared" si="30"/>
        <v>4057</v>
      </c>
      <c r="J163" s="455" t="s">
        <v>255</v>
      </c>
    </row>
    <row r="164" spans="1:12" hidden="1" x14ac:dyDescent="0.3">
      <c r="A164" s="455" t="s">
        <v>425</v>
      </c>
      <c r="B164" s="455" t="s">
        <v>120</v>
      </c>
      <c r="C164" s="539" t="s">
        <v>200</v>
      </c>
      <c r="D164" s="539" t="s">
        <v>201</v>
      </c>
      <c r="E164" s="567">
        <v>78454</v>
      </c>
      <c r="F164" s="568">
        <f t="shared" si="31"/>
        <v>104605</v>
      </c>
      <c r="G164" s="568">
        <f t="shared" si="29"/>
        <v>104605</v>
      </c>
      <c r="H164" s="568">
        <f t="shared" si="36"/>
        <v>107743</v>
      </c>
      <c r="I164" s="568">
        <f t="shared" si="30"/>
        <v>8979</v>
      </c>
      <c r="J164" s="455" t="s">
        <v>219</v>
      </c>
    </row>
    <row r="165" spans="1:12" hidden="1" x14ac:dyDescent="0.3">
      <c r="A165" s="455" t="s">
        <v>426</v>
      </c>
      <c r="B165" s="455" t="s">
        <v>1059</v>
      </c>
      <c r="C165" s="539" t="s">
        <v>200</v>
      </c>
      <c r="D165" s="539" t="s">
        <v>201</v>
      </c>
      <c r="E165" s="567">
        <v>85460</v>
      </c>
      <c r="F165" s="568">
        <f t="shared" si="31"/>
        <v>113947</v>
      </c>
      <c r="G165" s="568">
        <f t="shared" si="29"/>
        <v>113947</v>
      </c>
      <c r="H165" s="568">
        <f t="shared" si="36"/>
        <v>117365</v>
      </c>
      <c r="I165" s="568">
        <f t="shared" si="30"/>
        <v>9780</v>
      </c>
      <c r="J165" s="455" t="s">
        <v>225</v>
      </c>
    </row>
    <row r="166" spans="1:12" hidden="1" x14ac:dyDescent="0.3">
      <c r="A166" s="455" t="s">
        <v>427</v>
      </c>
      <c r="B166" s="455" t="s">
        <v>1069</v>
      </c>
      <c r="C166" s="539" t="s">
        <v>197</v>
      </c>
      <c r="D166" s="539">
        <v>6.12</v>
      </c>
      <c r="E166" s="567">
        <v>54256.22</v>
      </c>
      <c r="F166" s="568">
        <f t="shared" si="31"/>
        <v>54256</v>
      </c>
      <c r="G166" s="568">
        <f t="shared" si="29"/>
        <v>57576</v>
      </c>
      <c r="H166" s="568">
        <f t="shared" si="36"/>
        <v>59303</v>
      </c>
      <c r="I166" s="568">
        <f t="shared" si="30"/>
        <v>4942</v>
      </c>
      <c r="J166" s="455" t="s">
        <v>428</v>
      </c>
    </row>
    <row r="167" spans="1:12" hidden="1" x14ac:dyDescent="0.3">
      <c r="A167" s="455" t="s">
        <v>429</v>
      </c>
      <c r="B167" s="455" t="s">
        <v>124</v>
      </c>
      <c r="C167" s="539" t="s">
        <v>197</v>
      </c>
      <c r="D167" s="539">
        <v>6.12</v>
      </c>
      <c r="E167" s="567">
        <v>92233</v>
      </c>
      <c r="F167" s="569">
        <f t="shared" si="31"/>
        <v>92233</v>
      </c>
      <c r="G167" s="569">
        <f t="shared" si="29"/>
        <v>97878</v>
      </c>
      <c r="H167" s="569">
        <f t="shared" si="36"/>
        <v>100814</v>
      </c>
      <c r="I167" s="569">
        <f t="shared" si="30"/>
        <v>8401</v>
      </c>
      <c r="J167" s="455" t="s">
        <v>430</v>
      </c>
    </row>
    <row r="168" spans="1:12" hidden="1" x14ac:dyDescent="0.3">
      <c r="A168" s="455" t="s">
        <v>431</v>
      </c>
      <c r="B168" s="455" t="s">
        <v>124</v>
      </c>
      <c r="C168" s="539">
        <v>9</v>
      </c>
      <c r="D168" s="539">
        <v>0</v>
      </c>
      <c r="E168" s="567">
        <v>85884</v>
      </c>
      <c r="F168" s="569">
        <f t="shared" ref="F168" si="42">ROUND(E168/C168*12,0)</f>
        <v>114512</v>
      </c>
      <c r="G168" s="569">
        <f t="shared" ref="G168" si="43">ROUND(F168*(1+(D168/100)),0)</f>
        <v>114512</v>
      </c>
      <c r="H168" s="569">
        <f t="shared" ref="H168" si="44">ROUND(G168*(1+(COLA/100)),0)</f>
        <v>117947</v>
      </c>
      <c r="I168" s="569">
        <f t="shared" ref="I168" si="45">ROUND(H168/12,0)</f>
        <v>9829</v>
      </c>
      <c r="J168" s="455" t="s">
        <v>271</v>
      </c>
    </row>
    <row r="169" spans="1:12" hidden="1" x14ac:dyDescent="0.3">
      <c r="A169" s="455" t="s">
        <v>432</v>
      </c>
      <c r="B169" s="455" t="s">
        <v>144</v>
      </c>
      <c r="C169" s="539" t="s">
        <v>197</v>
      </c>
      <c r="D169" s="539">
        <v>6.12</v>
      </c>
      <c r="E169" s="567">
        <v>82853</v>
      </c>
      <c r="F169" s="568">
        <f>ROUND(E169/C169*12,0)</f>
        <v>82853</v>
      </c>
      <c r="G169" s="568">
        <f>ROUND(F169*(1+(D169/100)),0)</f>
        <v>87924</v>
      </c>
      <c r="H169" s="568">
        <f>ROUND(G169*(1+(COLA/100)),0)</f>
        <v>90562</v>
      </c>
      <c r="I169" s="568">
        <f>ROUND(H169/12,0)</f>
        <v>7547</v>
      </c>
      <c r="J169" s="455" t="s">
        <v>307</v>
      </c>
    </row>
    <row r="170" spans="1:12" hidden="1" x14ac:dyDescent="0.3">
      <c r="A170" s="455" t="s">
        <v>433</v>
      </c>
      <c r="B170" s="455" t="s">
        <v>143</v>
      </c>
      <c r="C170" s="539" t="s">
        <v>197</v>
      </c>
      <c r="D170" s="539">
        <v>6.12</v>
      </c>
      <c r="E170" s="567">
        <v>78306</v>
      </c>
      <c r="F170" s="568">
        <f t="shared" si="31"/>
        <v>78306</v>
      </c>
      <c r="G170" s="568">
        <f t="shared" ref="G170:G223" si="46">ROUND(F170*(1+(D170/100)),0)</f>
        <v>83098</v>
      </c>
      <c r="H170" s="568">
        <f t="shared" si="36"/>
        <v>85591</v>
      </c>
      <c r="I170" s="568">
        <f t="shared" ref="I170:I223" si="47">ROUND(H170/12,0)</f>
        <v>7133</v>
      </c>
      <c r="J170" s="455" t="s">
        <v>198</v>
      </c>
    </row>
    <row r="171" spans="1:12" hidden="1" x14ac:dyDescent="0.3">
      <c r="A171" s="455" t="s">
        <v>434</v>
      </c>
      <c r="B171" s="455" t="s">
        <v>124</v>
      </c>
      <c r="C171" s="539" t="s">
        <v>197</v>
      </c>
      <c r="D171" s="539">
        <v>6.12</v>
      </c>
      <c r="E171" s="567">
        <v>186614</v>
      </c>
      <c r="F171" s="568">
        <f t="shared" ref="F171:F224" si="48">ROUND(E171/C171*12,0)</f>
        <v>186614</v>
      </c>
      <c r="G171" s="568">
        <f t="shared" si="46"/>
        <v>198035</v>
      </c>
      <c r="H171" s="568">
        <f t="shared" si="36"/>
        <v>203976</v>
      </c>
      <c r="I171" s="568">
        <f t="shared" si="47"/>
        <v>16998</v>
      </c>
      <c r="J171" s="455" t="s">
        <v>217</v>
      </c>
    </row>
    <row r="172" spans="1:12" hidden="1" x14ac:dyDescent="0.3">
      <c r="A172" s="455" t="s">
        <v>435</v>
      </c>
      <c r="B172" s="455" t="s">
        <v>122</v>
      </c>
      <c r="C172" s="539" t="s">
        <v>197</v>
      </c>
      <c r="D172" s="539">
        <v>6.12</v>
      </c>
      <c r="E172" s="567">
        <v>50624.65</v>
      </c>
      <c r="F172" s="568">
        <f t="shared" si="48"/>
        <v>50625</v>
      </c>
      <c r="G172" s="568">
        <f t="shared" si="46"/>
        <v>53723</v>
      </c>
      <c r="H172" s="568">
        <f t="shared" si="36"/>
        <v>55335</v>
      </c>
      <c r="I172" s="568">
        <f t="shared" si="47"/>
        <v>4611</v>
      </c>
      <c r="J172" s="455" t="s">
        <v>436</v>
      </c>
    </row>
    <row r="173" spans="1:12" s="487" customFormat="1" hidden="1" x14ac:dyDescent="0.3">
      <c r="A173" s="455" t="s">
        <v>437</v>
      </c>
      <c r="B173" s="455" t="s">
        <v>1063</v>
      </c>
      <c r="C173" s="539" t="s">
        <v>200</v>
      </c>
      <c r="D173" s="539" t="s">
        <v>201</v>
      </c>
      <c r="E173" s="567">
        <v>47350</v>
      </c>
      <c r="F173" s="568">
        <f t="shared" si="48"/>
        <v>63133</v>
      </c>
      <c r="G173" s="568">
        <f t="shared" si="46"/>
        <v>63133</v>
      </c>
      <c r="H173" s="568">
        <f t="shared" si="36"/>
        <v>65027</v>
      </c>
      <c r="I173" s="568">
        <f t="shared" si="47"/>
        <v>5419</v>
      </c>
      <c r="J173" s="455" t="s">
        <v>250</v>
      </c>
      <c r="K173"/>
      <c r="L173" s="445"/>
    </row>
    <row r="174" spans="1:12" s="487" customFormat="1" hidden="1" x14ac:dyDescent="0.3">
      <c r="A174" s="455" t="s">
        <v>438</v>
      </c>
      <c r="B174" s="455" t="s">
        <v>1069</v>
      </c>
      <c r="C174" s="539" t="s">
        <v>197</v>
      </c>
      <c r="D174" s="539">
        <v>6.12</v>
      </c>
      <c r="E174" s="567">
        <v>27943.59</v>
      </c>
      <c r="F174" s="568">
        <f t="shared" si="48"/>
        <v>27944</v>
      </c>
      <c r="G174" s="568">
        <f t="shared" si="46"/>
        <v>29654</v>
      </c>
      <c r="H174" s="568">
        <f t="shared" si="36"/>
        <v>30544</v>
      </c>
      <c r="I174" s="568">
        <f t="shared" si="47"/>
        <v>2545</v>
      </c>
      <c r="J174" s="455" t="s">
        <v>221</v>
      </c>
      <c r="K174"/>
      <c r="L174" s="445"/>
    </row>
    <row r="175" spans="1:12" hidden="1" x14ac:dyDescent="0.3">
      <c r="A175" s="455" t="s">
        <v>439</v>
      </c>
      <c r="B175" s="455" t="s">
        <v>125</v>
      </c>
      <c r="C175" s="539" t="s">
        <v>197</v>
      </c>
      <c r="D175" s="539">
        <v>6.12</v>
      </c>
      <c r="E175" s="567">
        <v>45797.04</v>
      </c>
      <c r="F175" s="568">
        <f t="shared" si="48"/>
        <v>45797</v>
      </c>
      <c r="G175" s="568">
        <f t="shared" si="46"/>
        <v>48600</v>
      </c>
      <c r="H175" s="568">
        <f t="shared" si="36"/>
        <v>50058</v>
      </c>
      <c r="I175" s="568">
        <f t="shared" si="47"/>
        <v>4172</v>
      </c>
      <c r="J175" s="455" t="s">
        <v>440</v>
      </c>
    </row>
    <row r="176" spans="1:12" hidden="1" x14ac:dyDescent="0.3">
      <c r="A176" s="455" t="s">
        <v>441</v>
      </c>
      <c r="B176" s="455" t="s">
        <v>1063</v>
      </c>
      <c r="C176" s="539" t="s">
        <v>200</v>
      </c>
      <c r="D176" s="539" t="s">
        <v>201</v>
      </c>
      <c r="E176" s="567">
        <v>49662</v>
      </c>
      <c r="F176" s="568">
        <f t="shared" si="48"/>
        <v>66216</v>
      </c>
      <c r="G176" s="568">
        <f t="shared" si="46"/>
        <v>66216</v>
      </c>
      <c r="H176" s="568">
        <f t="shared" si="36"/>
        <v>68202</v>
      </c>
      <c r="I176" s="568">
        <f t="shared" si="47"/>
        <v>5684</v>
      </c>
      <c r="J176" s="455" t="s">
        <v>209</v>
      </c>
    </row>
    <row r="177" spans="1:10" hidden="1" x14ac:dyDescent="0.3">
      <c r="A177" s="455" t="s">
        <v>442</v>
      </c>
      <c r="B177" s="455" t="s">
        <v>117</v>
      </c>
      <c r="C177" s="539" t="s">
        <v>200</v>
      </c>
      <c r="D177" s="539" t="s">
        <v>201</v>
      </c>
      <c r="E177" s="567">
        <v>91706</v>
      </c>
      <c r="F177" s="568">
        <f t="shared" si="48"/>
        <v>122275</v>
      </c>
      <c r="G177" s="568">
        <f t="shared" si="46"/>
        <v>122275</v>
      </c>
      <c r="H177" s="568">
        <f t="shared" si="36"/>
        <v>125943</v>
      </c>
      <c r="I177" s="568">
        <f t="shared" si="47"/>
        <v>10495</v>
      </c>
      <c r="J177" s="455" t="s">
        <v>219</v>
      </c>
    </row>
    <row r="178" spans="1:10" hidden="1" x14ac:dyDescent="0.3">
      <c r="A178" s="455" t="s">
        <v>443</v>
      </c>
      <c r="B178" s="455" t="s">
        <v>1064</v>
      </c>
      <c r="C178" s="539" t="s">
        <v>197</v>
      </c>
      <c r="D178" s="539">
        <v>6.12</v>
      </c>
      <c r="E178" s="567">
        <v>56038.26</v>
      </c>
      <c r="F178" s="568">
        <f t="shared" si="48"/>
        <v>56038</v>
      </c>
      <c r="G178" s="568">
        <f t="shared" si="46"/>
        <v>59468</v>
      </c>
      <c r="H178" s="568">
        <f t="shared" si="36"/>
        <v>61252</v>
      </c>
      <c r="I178" s="568">
        <f t="shared" si="47"/>
        <v>5104</v>
      </c>
      <c r="J178" s="455" t="s">
        <v>444</v>
      </c>
    </row>
    <row r="179" spans="1:10" hidden="1" x14ac:dyDescent="0.3">
      <c r="A179" s="455" t="s">
        <v>445</v>
      </c>
      <c r="B179" s="455" t="s">
        <v>446</v>
      </c>
      <c r="C179" s="539" t="s">
        <v>197</v>
      </c>
      <c r="D179" s="539">
        <v>6.12</v>
      </c>
      <c r="E179" s="567">
        <v>61757</v>
      </c>
      <c r="F179" s="568">
        <f t="shared" si="48"/>
        <v>61757</v>
      </c>
      <c r="G179" s="568">
        <f t="shared" si="46"/>
        <v>65537</v>
      </c>
      <c r="H179" s="568">
        <f t="shared" si="36"/>
        <v>67503</v>
      </c>
      <c r="I179" s="568">
        <f t="shared" si="47"/>
        <v>5625</v>
      </c>
      <c r="J179" s="455" t="s">
        <v>198</v>
      </c>
    </row>
    <row r="180" spans="1:10" hidden="1" x14ac:dyDescent="0.3">
      <c r="A180" s="455" t="s">
        <v>447</v>
      </c>
      <c r="B180" s="455" t="s">
        <v>143</v>
      </c>
      <c r="C180" s="539" t="s">
        <v>197</v>
      </c>
      <c r="D180" s="539">
        <v>6.12</v>
      </c>
      <c r="E180" s="567">
        <v>64666</v>
      </c>
      <c r="F180" s="568">
        <f t="shared" si="48"/>
        <v>64666</v>
      </c>
      <c r="G180" s="568">
        <f t="shared" si="46"/>
        <v>68624</v>
      </c>
      <c r="H180" s="568">
        <f t="shared" si="36"/>
        <v>70683</v>
      </c>
      <c r="I180" s="568">
        <f t="shared" si="47"/>
        <v>5890</v>
      </c>
      <c r="J180" s="455" t="s">
        <v>198</v>
      </c>
    </row>
    <row r="181" spans="1:10" hidden="1" x14ac:dyDescent="0.3">
      <c r="A181" s="455" t="s">
        <v>448</v>
      </c>
      <c r="B181" s="455" t="s">
        <v>107</v>
      </c>
      <c r="C181" s="539" t="s">
        <v>200</v>
      </c>
      <c r="D181" s="539" t="s">
        <v>201</v>
      </c>
      <c r="E181" s="567">
        <v>88626</v>
      </c>
      <c r="F181" s="568">
        <f>ROUND(E181/C181*12,0)</f>
        <v>118168</v>
      </c>
      <c r="G181" s="568">
        <f t="shared" si="46"/>
        <v>118168</v>
      </c>
      <c r="H181" s="568">
        <f t="shared" ref="H181" si="49">ROUND(G181*(1+(COLA/100)),0)</f>
        <v>121713</v>
      </c>
      <c r="I181" s="568">
        <f t="shared" si="47"/>
        <v>10143</v>
      </c>
      <c r="J181" s="455" t="s">
        <v>219</v>
      </c>
    </row>
    <row r="182" spans="1:10" hidden="1" x14ac:dyDescent="0.3">
      <c r="A182" s="455" t="s">
        <v>449</v>
      </c>
      <c r="B182" s="455" t="s">
        <v>97</v>
      </c>
      <c r="C182" s="539" t="s">
        <v>197</v>
      </c>
      <c r="D182" s="539">
        <v>6.12</v>
      </c>
      <c r="E182" s="567">
        <v>107994</v>
      </c>
      <c r="F182" s="568">
        <f>ROUND(E182/C182*12,0)</f>
        <v>107994</v>
      </c>
      <c r="G182" s="568">
        <f>ROUND(F182*(1+(D182/100)),0)</f>
        <v>114603</v>
      </c>
      <c r="H182" s="568">
        <f>ROUND(G182*(1+(COLA/100)),0)</f>
        <v>118041</v>
      </c>
      <c r="I182" s="568">
        <f t="shared" si="47"/>
        <v>9837</v>
      </c>
      <c r="J182" s="455" t="s">
        <v>450</v>
      </c>
    </row>
    <row r="183" spans="1:10" hidden="1" x14ac:dyDescent="0.3">
      <c r="A183" s="455" t="s">
        <v>451</v>
      </c>
      <c r="B183" s="455" t="s">
        <v>144</v>
      </c>
      <c r="C183" s="539" t="s">
        <v>197</v>
      </c>
      <c r="D183" s="539">
        <v>6.12</v>
      </c>
      <c r="E183" s="567">
        <v>36684</v>
      </c>
      <c r="F183" s="568">
        <f t="shared" si="48"/>
        <v>36684</v>
      </c>
      <c r="G183" s="568">
        <f t="shared" si="46"/>
        <v>38929</v>
      </c>
      <c r="H183" s="568">
        <f t="shared" ref="H183:H247" si="50">ROUND(G183*(1+(COLA/100)),0)</f>
        <v>40097</v>
      </c>
      <c r="I183" s="568">
        <f t="shared" si="47"/>
        <v>3341</v>
      </c>
      <c r="J183" s="455" t="s">
        <v>452</v>
      </c>
    </row>
    <row r="184" spans="1:10" hidden="1" x14ac:dyDescent="0.3">
      <c r="A184" s="455" t="s">
        <v>453</v>
      </c>
      <c r="B184" s="455" t="s">
        <v>146</v>
      </c>
      <c r="C184" s="539" t="s">
        <v>197</v>
      </c>
      <c r="D184" s="539">
        <v>8.33</v>
      </c>
      <c r="E184" s="567">
        <v>146709</v>
      </c>
      <c r="F184" s="568">
        <f>ROUND(E184/C184*12,0)</f>
        <v>146709</v>
      </c>
      <c r="G184" s="568">
        <f t="shared" si="46"/>
        <v>158930</v>
      </c>
      <c r="H184" s="568">
        <f t="shared" ref="H184" si="51">ROUND(G184*(1+(COLA/100)),0)</f>
        <v>163698</v>
      </c>
      <c r="I184" s="568">
        <f t="shared" si="47"/>
        <v>13642</v>
      </c>
      <c r="J184" s="455" t="s">
        <v>454</v>
      </c>
    </row>
    <row r="185" spans="1:10" hidden="1" x14ac:dyDescent="0.3">
      <c r="A185" s="455" t="s">
        <v>455</v>
      </c>
      <c r="B185" s="455" t="s">
        <v>146</v>
      </c>
      <c r="C185" s="539" t="s">
        <v>197</v>
      </c>
      <c r="D185" s="539">
        <v>6.12</v>
      </c>
      <c r="E185" s="567">
        <v>50133</v>
      </c>
      <c r="F185" s="568">
        <f t="shared" si="48"/>
        <v>50133</v>
      </c>
      <c r="G185" s="568">
        <f t="shared" si="46"/>
        <v>53201</v>
      </c>
      <c r="H185" s="568">
        <f t="shared" si="50"/>
        <v>54797</v>
      </c>
      <c r="I185" s="568">
        <f t="shared" si="47"/>
        <v>4566</v>
      </c>
      <c r="J185" s="455" t="s">
        <v>348</v>
      </c>
    </row>
    <row r="186" spans="1:10" ht="12" hidden="1" customHeight="1" x14ac:dyDescent="0.3">
      <c r="A186" s="455" t="s">
        <v>456</v>
      </c>
      <c r="B186" s="455" t="s">
        <v>118</v>
      </c>
      <c r="C186" s="539" t="s">
        <v>197</v>
      </c>
      <c r="D186" s="539">
        <v>6.12</v>
      </c>
      <c r="E186" s="567">
        <v>74252</v>
      </c>
      <c r="F186" s="568">
        <f t="shared" si="48"/>
        <v>74252</v>
      </c>
      <c r="G186" s="568">
        <f t="shared" si="46"/>
        <v>78796</v>
      </c>
      <c r="H186" s="568">
        <f t="shared" si="50"/>
        <v>81160</v>
      </c>
      <c r="I186" s="568">
        <f t="shared" si="47"/>
        <v>6763</v>
      </c>
      <c r="J186" s="455" t="s">
        <v>417</v>
      </c>
    </row>
    <row r="187" spans="1:10" hidden="1" x14ac:dyDescent="0.3">
      <c r="A187" s="455" t="s">
        <v>457</v>
      </c>
      <c r="B187" s="455" t="s">
        <v>1059</v>
      </c>
      <c r="C187" s="539" t="s">
        <v>200</v>
      </c>
      <c r="D187" s="539" t="s">
        <v>201</v>
      </c>
      <c r="E187" s="567">
        <v>46610</v>
      </c>
      <c r="F187" s="568">
        <f t="shared" si="48"/>
        <v>62147</v>
      </c>
      <c r="G187" s="568">
        <f t="shared" si="46"/>
        <v>62147</v>
      </c>
      <c r="H187" s="568">
        <f t="shared" si="50"/>
        <v>64011</v>
      </c>
      <c r="I187" s="568">
        <f t="shared" si="47"/>
        <v>5334</v>
      </c>
      <c r="J187" s="455" t="s">
        <v>250</v>
      </c>
    </row>
    <row r="188" spans="1:10" hidden="1" x14ac:dyDescent="0.3">
      <c r="A188" s="455" t="s">
        <v>458</v>
      </c>
      <c r="B188" s="455" t="s">
        <v>116</v>
      </c>
      <c r="C188" s="539" t="s">
        <v>197</v>
      </c>
      <c r="D188" s="539">
        <v>8.33</v>
      </c>
      <c r="E188" s="567">
        <v>76335</v>
      </c>
      <c r="F188" s="568">
        <f t="shared" si="48"/>
        <v>76335</v>
      </c>
      <c r="G188" s="568">
        <f t="shared" si="46"/>
        <v>82694</v>
      </c>
      <c r="H188" s="568">
        <f t="shared" si="50"/>
        <v>85175</v>
      </c>
      <c r="I188" s="568">
        <f t="shared" si="47"/>
        <v>7098</v>
      </c>
      <c r="J188" s="455" t="s">
        <v>459</v>
      </c>
    </row>
    <row r="189" spans="1:10" hidden="1" x14ac:dyDescent="0.3">
      <c r="A189" s="455" t="s">
        <v>460</v>
      </c>
      <c r="B189" s="455" t="s">
        <v>134</v>
      </c>
      <c r="C189" s="539" t="s">
        <v>200</v>
      </c>
      <c r="D189" s="539" t="s">
        <v>201</v>
      </c>
      <c r="E189" s="567">
        <v>77725</v>
      </c>
      <c r="F189" s="568">
        <f t="shared" si="48"/>
        <v>103633</v>
      </c>
      <c r="G189" s="568">
        <f t="shared" si="46"/>
        <v>103633</v>
      </c>
      <c r="H189" s="568">
        <f t="shared" si="50"/>
        <v>106742</v>
      </c>
      <c r="I189" s="568">
        <f t="shared" si="47"/>
        <v>8895</v>
      </c>
      <c r="J189" s="455" t="s">
        <v>219</v>
      </c>
    </row>
    <row r="190" spans="1:10" hidden="1" x14ac:dyDescent="0.3">
      <c r="A190" s="455" t="s">
        <v>461</v>
      </c>
      <c r="B190" s="455" t="s">
        <v>117</v>
      </c>
      <c r="C190" s="539" t="s">
        <v>200</v>
      </c>
      <c r="D190" s="539" t="s">
        <v>201</v>
      </c>
      <c r="E190" s="567">
        <v>109664</v>
      </c>
      <c r="F190" s="568">
        <f t="shared" si="48"/>
        <v>146219</v>
      </c>
      <c r="G190" s="568">
        <f t="shared" si="46"/>
        <v>146219</v>
      </c>
      <c r="H190" s="568">
        <f t="shared" si="50"/>
        <v>150606</v>
      </c>
      <c r="I190" s="568">
        <f t="shared" si="47"/>
        <v>12551</v>
      </c>
      <c r="J190" s="455" t="s">
        <v>202</v>
      </c>
    </row>
    <row r="191" spans="1:10" hidden="1" x14ac:dyDescent="0.3">
      <c r="A191" s="455" t="s">
        <v>462</v>
      </c>
      <c r="B191" s="455" t="s">
        <v>120</v>
      </c>
      <c r="C191" s="539" t="s">
        <v>200</v>
      </c>
      <c r="D191" s="539" t="s">
        <v>201</v>
      </c>
      <c r="E191" s="567">
        <v>79527</v>
      </c>
      <c r="F191" s="568">
        <f t="shared" si="48"/>
        <v>106036</v>
      </c>
      <c r="G191" s="568">
        <f t="shared" si="46"/>
        <v>106036</v>
      </c>
      <c r="H191" s="568">
        <f t="shared" si="50"/>
        <v>109217</v>
      </c>
      <c r="I191" s="568">
        <f t="shared" si="47"/>
        <v>9101</v>
      </c>
      <c r="J191" s="455" t="s">
        <v>225</v>
      </c>
    </row>
    <row r="192" spans="1:10" hidden="1" x14ac:dyDescent="0.3">
      <c r="A192" s="455" t="s">
        <v>463</v>
      </c>
      <c r="B192" s="455" t="s">
        <v>1064</v>
      </c>
      <c r="C192" s="539" t="s">
        <v>197</v>
      </c>
      <c r="D192" s="539">
        <v>6.12</v>
      </c>
      <c r="E192" s="567">
        <v>38335.68</v>
      </c>
      <c r="F192" s="568">
        <f>ROUND(E192/C192*12,0)</f>
        <v>38336</v>
      </c>
      <c r="G192" s="568">
        <f>ROUND(F192*(1+(D192/100)),0)</f>
        <v>40682</v>
      </c>
      <c r="H192" s="568">
        <f>ROUND(G192*(1+(COLA/100)),0)</f>
        <v>41902</v>
      </c>
      <c r="I192" s="568">
        <f>ROUND(H192/12,0)</f>
        <v>3492</v>
      </c>
      <c r="J192" s="455" t="s">
        <v>329</v>
      </c>
    </row>
    <row r="193" spans="1:10" hidden="1" x14ac:dyDescent="0.3">
      <c r="A193" s="455" t="s">
        <v>464</v>
      </c>
      <c r="B193" s="455" t="s">
        <v>122</v>
      </c>
      <c r="C193" s="539" t="s">
        <v>197</v>
      </c>
      <c r="D193" s="539">
        <v>6.12</v>
      </c>
      <c r="E193" s="567">
        <v>55018.39</v>
      </c>
      <c r="F193" s="568">
        <f t="shared" si="48"/>
        <v>55018</v>
      </c>
      <c r="G193" s="568">
        <f t="shared" si="46"/>
        <v>58385</v>
      </c>
      <c r="H193" s="568">
        <f t="shared" si="50"/>
        <v>60137</v>
      </c>
      <c r="I193" s="568">
        <f t="shared" si="47"/>
        <v>5011</v>
      </c>
      <c r="J193" s="455" t="s">
        <v>465</v>
      </c>
    </row>
    <row r="194" spans="1:10" hidden="1" x14ac:dyDescent="0.3">
      <c r="A194" s="455" t="s">
        <v>466</v>
      </c>
      <c r="B194" s="455" t="s">
        <v>125</v>
      </c>
      <c r="C194" s="539" t="s">
        <v>200</v>
      </c>
      <c r="D194" s="539" t="s">
        <v>201</v>
      </c>
      <c r="E194" s="567">
        <v>80265</v>
      </c>
      <c r="F194" s="569">
        <f t="shared" si="48"/>
        <v>107020</v>
      </c>
      <c r="G194" s="569">
        <f t="shared" si="46"/>
        <v>107020</v>
      </c>
      <c r="H194" s="569">
        <f t="shared" si="50"/>
        <v>110231</v>
      </c>
      <c r="I194" s="569">
        <f t="shared" si="47"/>
        <v>9186</v>
      </c>
      <c r="J194" s="455" t="s">
        <v>204</v>
      </c>
    </row>
    <row r="195" spans="1:10" hidden="1" x14ac:dyDescent="0.3">
      <c r="A195" s="455" t="s">
        <v>467</v>
      </c>
      <c r="B195" s="455" t="s">
        <v>97</v>
      </c>
      <c r="C195" s="539" t="s">
        <v>200</v>
      </c>
      <c r="D195" s="539" t="s">
        <v>201</v>
      </c>
      <c r="E195" s="567">
        <v>19263.27</v>
      </c>
      <c r="F195" s="569">
        <f t="shared" ref="F195" si="52">ROUND(E195/C195*12,0)</f>
        <v>25684</v>
      </c>
      <c r="G195" s="569">
        <f t="shared" ref="G195" si="53">ROUND(F195*(1+(D195/100)),0)</f>
        <v>25684</v>
      </c>
      <c r="H195" s="569">
        <f t="shared" ref="H195" si="54">ROUND(G195*(1+(COLA/100)),0)</f>
        <v>26455</v>
      </c>
      <c r="I195" s="569">
        <f t="shared" ref="I195" si="55">ROUND(H195/12,0)</f>
        <v>2205</v>
      </c>
      <c r="J195" s="455" t="s">
        <v>468</v>
      </c>
    </row>
    <row r="196" spans="1:10" hidden="1" x14ac:dyDescent="0.3">
      <c r="A196" s="455" t="s">
        <v>469</v>
      </c>
      <c r="B196" s="455" t="s">
        <v>1061</v>
      </c>
      <c r="C196" s="539" t="s">
        <v>200</v>
      </c>
      <c r="D196" s="539" t="s">
        <v>201</v>
      </c>
      <c r="E196" s="567">
        <v>163958</v>
      </c>
      <c r="F196" s="568">
        <f t="shared" si="48"/>
        <v>218611</v>
      </c>
      <c r="G196" s="568">
        <f t="shared" si="46"/>
        <v>218611</v>
      </c>
      <c r="H196" s="568">
        <f t="shared" si="50"/>
        <v>225169</v>
      </c>
      <c r="I196" s="568">
        <f t="shared" si="47"/>
        <v>18764</v>
      </c>
      <c r="J196" s="455" t="s">
        <v>202</v>
      </c>
    </row>
    <row r="197" spans="1:10" hidden="1" x14ac:dyDescent="0.3">
      <c r="A197" s="455" t="s">
        <v>470</v>
      </c>
      <c r="B197" s="455" t="s">
        <v>1069</v>
      </c>
      <c r="C197" s="539" t="s">
        <v>197</v>
      </c>
      <c r="D197" s="539">
        <v>6.12</v>
      </c>
      <c r="E197" s="567">
        <v>25125.919999999998</v>
      </c>
      <c r="F197" s="568">
        <f t="shared" si="48"/>
        <v>25126</v>
      </c>
      <c r="G197" s="568">
        <f t="shared" si="46"/>
        <v>26664</v>
      </c>
      <c r="H197" s="568">
        <f t="shared" si="50"/>
        <v>27464</v>
      </c>
      <c r="I197" s="568">
        <f t="shared" si="47"/>
        <v>2289</v>
      </c>
      <c r="J197" s="455" t="s">
        <v>221</v>
      </c>
    </row>
    <row r="198" spans="1:10" hidden="1" x14ac:dyDescent="0.3">
      <c r="A198" s="455" t="s">
        <v>471</v>
      </c>
      <c r="B198" s="455" t="s">
        <v>104</v>
      </c>
      <c r="C198" s="539" t="s">
        <v>200</v>
      </c>
      <c r="D198" s="539" t="s">
        <v>201</v>
      </c>
      <c r="E198" s="567">
        <v>116670</v>
      </c>
      <c r="F198" s="568">
        <f t="shared" si="48"/>
        <v>155560</v>
      </c>
      <c r="G198" s="568">
        <f t="shared" si="46"/>
        <v>155560</v>
      </c>
      <c r="H198" s="568">
        <f t="shared" si="50"/>
        <v>160227</v>
      </c>
      <c r="I198" s="568">
        <f t="shared" si="47"/>
        <v>13352</v>
      </c>
      <c r="J198" s="455" t="s">
        <v>202</v>
      </c>
    </row>
    <row r="199" spans="1:10" hidden="1" x14ac:dyDescent="0.3">
      <c r="A199" s="455" t="s">
        <v>472</v>
      </c>
      <c r="B199" s="455" t="s">
        <v>1069</v>
      </c>
      <c r="C199" s="539" t="s">
        <v>197</v>
      </c>
      <c r="D199" s="539">
        <v>6.12</v>
      </c>
      <c r="E199" s="567">
        <v>26095.18</v>
      </c>
      <c r="F199" s="568">
        <f t="shared" si="48"/>
        <v>26095</v>
      </c>
      <c r="G199" s="568">
        <f t="shared" si="46"/>
        <v>27692</v>
      </c>
      <c r="H199" s="568">
        <f t="shared" si="50"/>
        <v>28523</v>
      </c>
      <c r="I199" s="568">
        <f t="shared" si="47"/>
        <v>2377</v>
      </c>
      <c r="J199" s="455" t="s">
        <v>221</v>
      </c>
    </row>
    <row r="200" spans="1:10" hidden="1" x14ac:dyDescent="0.3">
      <c r="A200" s="455" t="s">
        <v>473</v>
      </c>
      <c r="B200" s="455" t="s">
        <v>144</v>
      </c>
      <c r="C200" s="539" t="s">
        <v>197</v>
      </c>
      <c r="D200" s="539">
        <v>6.12</v>
      </c>
      <c r="E200" s="567">
        <v>35598.17</v>
      </c>
      <c r="F200" s="568">
        <f t="shared" si="48"/>
        <v>35598</v>
      </c>
      <c r="G200" s="568">
        <f t="shared" si="46"/>
        <v>37777</v>
      </c>
      <c r="H200" s="568">
        <f t="shared" si="50"/>
        <v>38910</v>
      </c>
      <c r="I200" s="568">
        <f t="shared" si="47"/>
        <v>3243</v>
      </c>
      <c r="J200" s="455" t="s">
        <v>474</v>
      </c>
    </row>
    <row r="201" spans="1:10" hidden="1" x14ac:dyDescent="0.3">
      <c r="A201" s="455" t="s">
        <v>475</v>
      </c>
      <c r="B201" s="455" t="s">
        <v>97</v>
      </c>
      <c r="C201" s="539" t="s">
        <v>197</v>
      </c>
      <c r="D201" s="539">
        <v>6.12</v>
      </c>
      <c r="E201" s="567">
        <v>21015.51</v>
      </c>
      <c r="F201" s="568">
        <f t="shared" si="48"/>
        <v>21016</v>
      </c>
      <c r="G201" s="568">
        <f t="shared" si="46"/>
        <v>22302</v>
      </c>
      <c r="H201" s="568">
        <f t="shared" si="50"/>
        <v>22971</v>
      </c>
      <c r="I201" s="568">
        <f t="shared" si="47"/>
        <v>1914</v>
      </c>
      <c r="J201" s="455" t="s">
        <v>257</v>
      </c>
    </row>
    <row r="202" spans="1:10" hidden="1" x14ac:dyDescent="0.3">
      <c r="A202" s="455" t="s">
        <v>476</v>
      </c>
      <c r="B202" s="455" t="s">
        <v>144</v>
      </c>
      <c r="C202" s="539" t="s">
        <v>197</v>
      </c>
      <c r="D202" s="539">
        <v>6.12</v>
      </c>
      <c r="E202" s="567">
        <v>35598.17</v>
      </c>
      <c r="F202" s="568">
        <f t="shared" si="48"/>
        <v>35598</v>
      </c>
      <c r="G202" s="568">
        <f t="shared" si="46"/>
        <v>37777</v>
      </c>
      <c r="H202" s="568">
        <f t="shared" si="50"/>
        <v>38910</v>
      </c>
      <c r="I202" s="568">
        <f t="shared" si="47"/>
        <v>3243</v>
      </c>
      <c r="J202" s="455" t="s">
        <v>477</v>
      </c>
    </row>
    <row r="203" spans="1:10" hidden="1" x14ac:dyDescent="0.3">
      <c r="A203" s="455" t="s">
        <v>478</v>
      </c>
      <c r="B203" s="455" t="s">
        <v>144</v>
      </c>
      <c r="C203" s="539" t="s">
        <v>197</v>
      </c>
      <c r="D203" s="539">
        <v>6.12</v>
      </c>
      <c r="E203" s="567">
        <v>39642.92</v>
      </c>
      <c r="F203" s="568">
        <f t="shared" si="48"/>
        <v>39643</v>
      </c>
      <c r="G203" s="568">
        <f t="shared" si="46"/>
        <v>42069</v>
      </c>
      <c r="H203" s="568">
        <f t="shared" si="50"/>
        <v>43331</v>
      </c>
      <c r="I203" s="568">
        <f t="shared" si="47"/>
        <v>3611</v>
      </c>
      <c r="J203" s="455" t="s">
        <v>240</v>
      </c>
    </row>
    <row r="204" spans="1:10" hidden="1" x14ac:dyDescent="0.3">
      <c r="A204" s="455" t="s">
        <v>479</v>
      </c>
      <c r="B204" s="455" t="s">
        <v>144</v>
      </c>
      <c r="C204" s="539" t="s">
        <v>197</v>
      </c>
      <c r="D204" s="539">
        <v>6.12</v>
      </c>
      <c r="E204" s="567">
        <v>58831.13</v>
      </c>
      <c r="F204" s="568">
        <f t="shared" si="48"/>
        <v>58831</v>
      </c>
      <c r="G204" s="568">
        <f t="shared" si="46"/>
        <v>62431</v>
      </c>
      <c r="H204" s="568">
        <f t="shared" si="50"/>
        <v>64304</v>
      </c>
      <c r="I204" s="568">
        <f t="shared" si="47"/>
        <v>5359</v>
      </c>
      <c r="J204" s="455" t="s">
        <v>444</v>
      </c>
    </row>
    <row r="205" spans="1:10" hidden="1" x14ac:dyDescent="0.3">
      <c r="A205" s="455" t="s">
        <v>480</v>
      </c>
      <c r="B205" s="455" t="s">
        <v>1069</v>
      </c>
      <c r="C205" s="539" t="s">
        <v>197</v>
      </c>
      <c r="D205" s="539">
        <v>6.12</v>
      </c>
      <c r="E205" s="567">
        <v>55756.7</v>
      </c>
      <c r="F205" s="568">
        <f t="shared" si="48"/>
        <v>55757</v>
      </c>
      <c r="G205" s="568">
        <f t="shared" si="46"/>
        <v>59169</v>
      </c>
      <c r="H205" s="568">
        <f t="shared" si="50"/>
        <v>60944</v>
      </c>
      <c r="I205" s="568">
        <f t="shared" si="47"/>
        <v>5079</v>
      </c>
      <c r="J205" s="455" t="s">
        <v>229</v>
      </c>
    </row>
    <row r="206" spans="1:10" hidden="1" x14ac:dyDescent="0.3">
      <c r="A206" s="455" t="s">
        <v>481</v>
      </c>
      <c r="B206" s="455" t="s">
        <v>97</v>
      </c>
      <c r="C206" s="539" t="s">
        <v>197</v>
      </c>
      <c r="D206" s="539">
        <v>6.12</v>
      </c>
      <c r="E206" s="567">
        <v>37270.449999999997</v>
      </c>
      <c r="F206" s="568">
        <f t="shared" si="48"/>
        <v>37270</v>
      </c>
      <c r="G206" s="568">
        <f t="shared" si="46"/>
        <v>39551</v>
      </c>
      <c r="H206" s="568">
        <f t="shared" si="50"/>
        <v>40738</v>
      </c>
      <c r="I206" s="568">
        <f t="shared" si="47"/>
        <v>3395</v>
      </c>
      <c r="J206" s="455" t="s">
        <v>257</v>
      </c>
    </row>
    <row r="207" spans="1:10" hidden="1" x14ac:dyDescent="0.3">
      <c r="A207" s="455" t="s">
        <v>482</v>
      </c>
      <c r="B207" s="455" t="s">
        <v>1062</v>
      </c>
      <c r="C207" s="539" t="s">
        <v>200</v>
      </c>
      <c r="D207" s="539" t="s">
        <v>201</v>
      </c>
      <c r="E207" s="567">
        <v>144616</v>
      </c>
      <c r="F207" s="568">
        <f t="shared" si="48"/>
        <v>192821</v>
      </c>
      <c r="G207" s="568">
        <f t="shared" si="46"/>
        <v>192821</v>
      </c>
      <c r="H207" s="568">
        <f t="shared" si="50"/>
        <v>198606</v>
      </c>
      <c r="I207" s="568">
        <f t="shared" si="47"/>
        <v>16551</v>
      </c>
      <c r="J207" s="455" t="s">
        <v>225</v>
      </c>
    </row>
    <row r="208" spans="1:10" hidden="1" x14ac:dyDescent="0.3">
      <c r="A208" s="455" t="s">
        <v>483</v>
      </c>
      <c r="B208" s="455" t="s">
        <v>1069</v>
      </c>
      <c r="C208" s="539" t="s">
        <v>197</v>
      </c>
      <c r="D208" s="539">
        <v>6.12</v>
      </c>
      <c r="E208" s="567">
        <v>25312.32</v>
      </c>
      <c r="F208" s="569">
        <f t="shared" si="48"/>
        <v>25312</v>
      </c>
      <c r="G208" s="569">
        <f t="shared" si="46"/>
        <v>26861</v>
      </c>
      <c r="H208" s="569">
        <f t="shared" si="50"/>
        <v>27667</v>
      </c>
      <c r="I208" s="569">
        <f t="shared" si="47"/>
        <v>2306</v>
      </c>
      <c r="J208" s="455" t="s">
        <v>221</v>
      </c>
    </row>
    <row r="209" spans="1:10" hidden="1" x14ac:dyDescent="0.3">
      <c r="A209" s="455" t="s">
        <v>484</v>
      </c>
      <c r="B209" s="455" t="s">
        <v>124</v>
      </c>
      <c r="C209" s="539" t="s">
        <v>197</v>
      </c>
      <c r="D209" s="539">
        <v>6.12</v>
      </c>
      <c r="E209" s="567">
        <v>39577.69</v>
      </c>
      <c r="F209" s="569">
        <f>ROUND(E209/C209*12,0)</f>
        <v>39578</v>
      </c>
      <c r="G209" s="569">
        <f>ROUND(F209*(1+(D209/100)),0)</f>
        <v>42000</v>
      </c>
      <c r="H209" s="569">
        <f>ROUND(G209*(1+(COLA/100)),0)</f>
        <v>43260</v>
      </c>
      <c r="I209" s="569">
        <f>ROUND(H209/12,0)</f>
        <v>3605</v>
      </c>
      <c r="J209" s="455" t="s">
        <v>233</v>
      </c>
    </row>
    <row r="210" spans="1:10" hidden="1" x14ac:dyDescent="0.3">
      <c r="A210" s="455" t="s">
        <v>485</v>
      </c>
      <c r="B210" s="455" t="s">
        <v>143</v>
      </c>
      <c r="C210" s="539" t="s">
        <v>197</v>
      </c>
      <c r="D210" s="539">
        <v>6.12</v>
      </c>
      <c r="E210" s="567">
        <v>105717</v>
      </c>
      <c r="F210" s="569">
        <f t="shared" si="48"/>
        <v>105717</v>
      </c>
      <c r="G210" s="569">
        <f t="shared" si="46"/>
        <v>112187</v>
      </c>
      <c r="H210" s="569">
        <f t="shared" si="50"/>
        <v>115553</v>
      </c>
      <c r="I210" s="569">
        <f t="shared" si="47"/>
        <v>9629</v>
      </c>
      <c r="J210" s="455" t="s">
        <v>211</v>
      </c>
    </row>
    <row r="211" spans="1:10" hidden="1" x14ac:dyDescent="0.3">
      <c r="A211" s="455" t="s">
        <v>486</v>
      </c>
      <c r="B211" s="455" t="s">
        <v>146</v>
      </c>
      <c r="C211" s="539" t="s">
        <v>197</v>
      </c>
      <c r="D211" s="539">
        <v>6.12</v>
      </c>
      <c r="E211" s="567">
        <v>53446</v>
      </c>
      <c r="F211" s="569">
        <f t="shared" si="48"/>
        <v>53446</v>
      </c>
      <c r="G211" s="569">
        <f t="shared" si="46"/>
        <v>56717</v>
      </c>
      <c r="H211" s="569">
        <f t="shared" si="50"/>
        <v>58419</v>
      </c>
      <c r="I211" s="569">
        <f t="shared" si="47"/>
        <v>4868</v>
      </c>
      <c r="J211" s="455" t="s">
        <v>487</v>
      </c>
    </row>
    <row r="212" spans="1:10" hidden="1" x14ac:dyDescent="0.3">
      <c r="A212" s="455" t="s">
        <v>488</v>
      </c>
      <c r="B212" s="455" t="s">
        <v>124</v>
      </c>
      <c r="C212" s="539" t="s">
        <v>200</v>
      </c>
      <c r="D212" s="539" t="s">
        <v>201</v>
      </c>
      <c r="E212" s="567">
        <v>129563</v>
      </c>
      <c r="F212" s="568">
        <f t="shared" si="48"/>
        <v>172751</v>
      </c>
      <c r="G212" s="568">
        <f t="shared" si="46"/>
        <v>172751</v>
      </c>
      <c r="H212" s="568">
        <f t="shared" si="50"/>
        <v>177934</v>
      </c>
      <c r="I212" s="568">
        <f t="shared" si="47"/>
        <v>14828</v>
      </c>
      <c r="J212" s="455" t="s">
        <v>202</v>
      </c>
    </row>
    <row r="213" spans="1:10" hidden="1" x14ac:dyDescent="0.3">
      <c r="A213" s="455" t="s">
        <v>489</v>
      </c>
      <c r="B213" s="455" t="s">
        <v>144</v>
      </c>
      <c r="C213" s="539" t="s">
        <v>197</v>
      </c>
      <c r="D213" s="539">
        <v>6.12</v>
      </c>
      <c r="E213" s="567">
        <v>62323</v>
      </c>
      <c r="F213" s="568">
        <f t="shared" si="48"/>
        <v>62323</v>
      </c>
      <c r="G213" s="568">
        <f t="shared" si="46"/>
        <v>66137</v>
      </c>
      <c r="H213" s="568">
        <f t="shared" si="50"/>
        <v>68121</v>
      </c>
      <c r="I213" s="568">
        <f t="shared" si="47"/>
        <v>5677</v>
      </c>
      <c r="J213" s="455" t="s">
        <v>198</v>
      </c>
    </row>
    <row r="214" spans="1:10" hidden="1" x14ac:dyDescent="0.3">
      <c r="A214" s="455" t="s">
        <v>490</v>
      </c>
      <c r="B214" s="455" t="s">
        <v>120</v>
      </c>
      <c r="C214" s="539">
        <v>9</v>
      </c>
      <c r="D214" s="539">
        <v>6.12</v>
      </c>
      <c r="E214" s="567">
        <v>75780</v>
      </c>
      <c r="F214" s="568">
        <f t="shared" si="48"/>
        <v>101040</v>
      </c>
      <c r="G214" s="568">
        <f t="shared" si="46"/>
        <v>107224</v>
      </c>
      <c r="H214" s="568">
        <f t="shared" ref="H214" si="56">ROUND(G214*(1+(COLA/100)),0)</f>
        <v>110441</v>
      </c>
      <c r="I214" s="568">
        <f t="shared" si="47"/>
        <v>9203</v>
      </c>
      <c r="J214" s="455" t="s">
        <v>219</v>
      </c>
    </row>
    <row r="215" spans="1:10" hidden="1" x14ac:dyDescent="0.3">
      <c r="A215" s="455" t="s">
        <v>491</v>
      </c>
      <c r="B215" s="455" t="s">
        <v>117</v>
      </c>
      <c r="C215" s="539" t="s">
        <v>197</v>
      </c>
      <c r="D215" s="539">
        <v>0</v>
      </c>
      <c r="E215" s="567">
        <v>162711.53</v>
      </c>
      <c r="F215" s="568">
        <f t="shared" ref="F215" si="57">ROUND(E215/C215*12,0)</f>
        <v>162712</v>
      </c>
      <c r="G215" s="568">
        <f t="shared" ref="G215" si="58">ROUND(F215*(1+(D215/100)),0)</f>
        <v>162712</v>
      </c>
      <c r="H215" s="568">
        <f t="shared" ref="H215" si="59">ROUND(G215*(1+(COLA/100)),0)</f>
        <v>167593</v>
      </c>
      <c r="I215" s="568">
        <f t="shared" ref="I215" si="60">ROUND(H215/12,0)</f>
        <v>13966</v>
      </c>
      <c r="J215" s="455" t="s">
        <v>492</v>
      </c>
    </row>
    <row r="216" spans="1:10" hidden="1" x14ac:dyDescent="0.3">
      <c r="A216" s="455" t="s">
        <v>493</v>
      </c>
      <c r="B216" s="455" t="s">
        <v>284</v>
      </c>
      <c r="C216" s="539" t="s">
        <v>197</v>
      </c>
      <c r="D216" s="539">
        <v>6.12</v>
      </c>
      <c r="E216" s="567">
        <v>46938</v>
      </c>
      <c r="F216" s="568">
        <f t="shared" si="48"/>
        <v>46938</v>
      </c>
      <c r="G216" s="568">
        <f t="shared" si="46"/>
        <v>49811</v>
      </c>
      <c r="H216" s="568">
        <f t="shared" si="50"/>
        <v>51305</v>
      </c>
      <c r="I216" s="568">
        <f t="shared" si="47"/>
        <v>4275</v>
      </c>
      <c r="J216" s="455" t="s">
        <v>282</v>
      </c>
    </row>
    <row r="217" spans="1:10" hidden="1" x14ac:dyDescent="0.3">
      <c r="A217" s="455" t="s">
        <v>494</v>
      </c>
      <c r="B217" s="455" t="s">
        <v>146</v>
      </c>
      <c r="C217" s="539" t="s">
        <v>197</v>
      </c>
      <c r="D217" s="539">
        <v>6.12</v>
      </c>
      <c r="E217" s="567">
        <v>52000</v>
      </c>
      <c r="F217" s="568">
        <f t="shared" si="48"/>
        <v>52000</v>
      </c>
      <c r="G217" s="568">
        <f t="shared" si="46"/>
        <v>55182</v>
      </c>
      <c r="H217" s="568">
        <f t="shared" si="50"/>
        <v>56837</v>
      </c>
      <c r="I217" s="568">
        <f t="shared" si="47"/>
        <v>4736</v>
      </c>
      <c r="J217" s="455" t="s">
        <v>495</v>
      </c>
    </row>
    <row r="218" spans="1:10" hidden="1" x14ac:dyDescent="0.3">
      <c r="A218" s="455" t="s">
        <v>496</v>
      </c>
      <c r="B218" s="455" t="s">
        <v>122</v>
      </c>
      <c r="C218" s="539" t="s">
        <v>197</v>
      </c>
      <c r="D218" s="539">
        <v>6.12</v>
      </c>
      <c r="E218" s="567">
        <v>57914.07</v>
      </c>
      <c r="F218" s="568">
        <f>ROUND(E218/C218*12,0)</f>
        <v>57914</v>
      </c>
      <c r="G218" s="568">
        <f>ROUND(F218*(1+(D218/100)),0)</f>
        <v>61458</v>
      </c>
      <c r="H218" s="568">
        <f>ROUND(G218*(1+(COLA/100)),0)</f>
        <v>63302</v>
      </c>
      <c r="I218" s="568">
        <f>ROUND(H218/12,0)</f>
        <v>5275</v>
      </c>
      <c r="J218" s="455" t="s">
        <v>497</v>
      </c>
    </row>
    <row r="219" spans="1:10" hidden="1" x14ac:dyDescent="0.3">
      <c r="A219" s="455" t="s">
        <v>498</v>
      </c>
      <c r="B219" s="455" t="s">
        <v>118</v>
      </c>
      <c r="C219" s="539" t="s">
        <v>197</v>
      </c>
      <c r="D219" s="539">
        <v>6.12</v>
      </c>
      <c r="E219" s="567">
        <v>38743</v>
      </c>
      <c r="F219" s="569">
        <f t="shared" si="48"/>
        <v>38743</v>
      </c>
      <c r="G219" s="569">
        <f t="shared" si="46"/>
        <v>41114</v>
      </c>
      <c r="H219" s="569">
        <f t="shared" si="50"/>
        <v>42347</v>
      </c>
      <c r="I219" s="569">
        <f t="shared" si="47"/>
        <v>3529</v>
      </c>
      <c r="J219" s="455" t="s">
        <v>257</v>
      </c>
    </row>
    <row r="220" spans="1:10" hidden="1" x14ac:dyDescent="0.3">
      <c r="A220" s="455" t="s">
        <v>499</v>
      </c>
      <c r="B220" s="455" t="s">
        <v>90</v>
      </c>
      <c r="C220" s="539" t="s">
        <v>197</v>
      </c>
      <c r="D220" s="539">
        <v>6.12</v>
      </c>
      <c r="E220" s="567">
        <v>45797.919999999998</v>
      </c>
      <c r="F220" s="568">
        <f t="shared" si="48"/>
        <v>45798</v>
      </c>
      <c r="G220" s="568">
        <f t="shared" si="46"/>
        <v>48601</v>
      </c>
      <c r="H220" s="568">
        <f t="shared" si="50"/>
        <v>50059</v>
      </c>
      <c r="I220" s="568">
        <f t="shared" si="47"/>
        <v>4172</v>
      </c>
      <c r="J220" s="455" t="s">
        <v>500</v>
      </c>
    </row>
    <row r="221" spans="1:10" hidden="1" x14ac:dyDescent="0.3">
      <c r="A221" s="455" t="s">
        <v>501</v>
      </c>
      <c r="B221" s="455" t="s">
        <v>97</v>
      </c>
      <c r="C221" s="539" t="s">
        <v>197</v>
      </c>
      <c r="D221" s="539">
        <v>6.12</v>
      </c>
      <c r="E221" s="567">
        <v>95000</v>
      </c>
      <c r="F221" s="568">
        <f t="shared" si="48"/>
        <v>95000</v>
      </c>
      <c r="G221" s="568">
        <f t="shared" si="46"/>
        <v>100814</v>
      </c>
      <c r="H221" s="568">
        <f t="shared" si="50"/>
        <v>103838</v>
      </c>
      <c r="I221" s="568">
        <f t="shared" si="47"/>
        <v>8653</v>
      </c>
      <c r="J221" s="455" t="s">
        <v>307</v>
      </c>
    </row>
    <row r="222" spans="1:10" hidden="1" x14ac:dyDescent="0.3">
      <c r="A222" s="455" t="s">
        <v>502</v>
      </c>
      <c r="B222" s="455" t="s">
        <v>1069</v>
      </c>
      <c r="C222" s="539" t="s">
        <v>197</v>
      </c>
      <c r="D222" s="539">
        <v>6.12</v>
      </c>
      <c r="E222" s="567">
        <v>30009.45</v>
      </c>
      <c r="F222" s="568">
        <f>ROUND(E222/C222*12,0)</f>
        <v>30009</v>
      </c>
      <c r="G222" s="568">
        <f>ROUND(F222*(1+(D222/100)),0)</f>
        <v>31846</v>
      </c>
      <c r="H222" s="568">
        <f>ROUND(G222*(1+(COLA/100)),0)</f>
        <v>32801</v>
      </c>
      <c r="I222" s="568">
        <f>ROUND(H222/12,0)</f>
        <v>2733</v>
      </c>
      <c r="J222" s="455" t="s">
        <v>221</v>
      </c>
    </row>
    <row r="223" spans="1:10" hidden="1" x14ac:dyDescent="0.3">
      <c r="A223" s="455" t="s">
        <v>503</v>
      </c>
      <c r="B223" s="455" t="s">
        <v>93</v>
      </c>
      <c r="C223" s="539" t="s">
        <v>197</v>
      </c>
      <c r="D223" s="539">
        <v>6.12</v>
      </c>
      <c r="E223" s="567">
        <v>73792</v>
      </c>
      <c r="F223" s="568">
        <f t="shared" si="48"/>
        <v>73792</v>
      </c>
      <c r="G223" s="568">
        <f t="shared" si="46"/>
        <v>78308</v>
      </c>
      <c r="H223" s="568">
        <f t="shared" si="50"/>
        <v>80657</v>
      </c>
      <c r="I223" s="568">
        <f t="shared" si="47"/>
        <v>6721</v>
      </c>
      <c r="J223" s="455" t="s">
        <v>246</v>
      </c>
    </row>
    <row r="224" spans="1:10" hidden="1" x14ac:dyDescent="0.3">
      <c r="A224" s="455" t="s">
        <v>504</v>
      </c>
      <c r="B224" s="455" t="s">
        <v>104</v>
      </c>
      <c r="C224" s="539" t="s">
        <v>200</v>
      </c>
      <c r="D224" s="539" t="s">
        <v>201</v>
      </c>
      <c r="E224" s="567">
        <v>82000</v>
      </c>
      <c r="F224" s="568">
        <f t="shared" si="48"/>
        <v>109333</v>
      </c>
      <c r="G224" s="568">
        <f t="shared" ref="G224:G284" si="61">ROUND(F224*(1+(D224/100)),0)</f>
        <v>109333</v>
      </c>
      <c r="H224" s="568">
        <f t="shared" si="50"/>
        <v>112613</v>
      </c>
      <c r="I224" s="568">
        <f t="shared" ref="I224:I284" si="62">ROUND(H224/12,0)</f>
        <v>9384</v>
      </c>
      <c r="J224" s="455" t="s">
        <v>219</v>
      </c>
    </row>
    <row r="225" spans="1:10" hidden="1" x14ac:dyDescent="0.3">
      <c r="A225" s="455" t="s">
        <v>505</v>
      </c>
      <c r="B225" s="455" t="s">
        <v>117</v>
      </c>
      <c r="C225" s="539" t="s">
        <v>200</v>
      </c>
      <c r="D225" s="539" t="s">
        <v>201</v>
      </c>
      <c r="E225" s="567">
        <v>68130</v>
      </c>
      <c r="F225" s="568">
        <f t="shared" ref="F225:F285" si="63">ROUND(E225/C225*12,0)</f>
        <v>90840</v>
      </c>
      <c r="G225" s="568">
        <f t="shared" si="61"/>
        <v>90840</v>
      </c>
      <c r="H225" s="568">
        <f t="shared" si="50"/>
        <v>93565</v>
      </c>
      <c r="I225" s="568">
        <f t="shared" si="62"/>
        <v>7797</v>
      </c>
      <c r="J225" s="455" t="s">
        <v>225</v>
      </c>
    </row>
    <row r="226" spans="1:10" hidden="1" x14ac:dyDescent="0.3">
      <c r="A226" s="455" t="s">
        <v>506</v>
      </c>
      <c r="B226" s="455" t="s">
        <v>1069</v>
      </c>
      <c r="C226" s="539" t="s">
        <v>197</v>
      </c>
      <c r="D226" s="539">
        <v>6.12</v>
      </c>
      <c r="E226" s="567">
        <v>60000</v>
      </c>
      <c r="F226" s="568">
        <f t="shared" ref="F226" si="64">ROUND(E226/C226*12,0)</f>
        <v>60000</v>
      </c>
      <c r="G226" s="568">
        <f t="shared" ref="G226" si="65">ROUND(F226*(1+(D226/100)),0)</f>
        <v>63672</v>
      </c>
      <c r="H226" s="568">
        <f t="shared" ref="H226" si="66">ROUND(G226*(1+(COLA/100)),0)</f>
        <v>65582</v>
      </c>
      <c r="I226" s="568">
        <f t="shared" ref="I226" si="67">ROUND(H226/12,0)</f>
        <v>5465</v>
      </c>
      <c r="J226" s="455" t="s">
        <v>307</v>
      </c>
    </row>
    <row r="227" spans="1:10" hidden="1" x14ac:dyDescent="0.3">
      <c r="A227" s="455" t="s">
        <v>507</v>
      </c>
      <c r="B227" s="455" t="s">
        <v>134</v>
      </c>
      <c r="C227" s="539">
        <v>9</v>
      </c>
      <c r="D227" s="539">
        <v>0</v>
      </c>
      <c r="E227" s="567">
        <v>73000</v>
      </c>
      <c r="F227" s="569">
        <f>ROUND(E227/C227*12,0)</f>
        <v>97333</v>
      </c>
      <c r="G227" s="569">
        <f>ROUND(F227*(1+(D227/100)),0)</f>
        <v>97333</v>
      </c>
      <c r="H227" s="569">
        <f>ROUND(G227*(1+(COLA/100)),0)</f>
        <v>100253</v>
      </c>
      <c r="I227" s="569">
        <f>ROUND(H227/12,0)</f>
        <v>8354</v>
      </c>
      <c r="J227" s="455" t="s">
        <v>225</v>
      </c>
    </row>
    <row r="228" spans="1:10" hidden="1" x14ac:dyDescent="0.3">
      <c r="A228" s="455" t="s">
        <v>508</v>
      </c>
      <c r="B228" s="455" t="s">
        <v>117</v>
      </c>
      <c r="C228" s="539" t="s">
        <v>197</v>
      </c>
      <c r="D228" s="539">
        <v>6.12</v>
      </c>
      <c r="E228" s="567">
        <v>62886</v>
      </c>
      <c r="F228" s="569">
        <f>ROUND(E228/C228*12,0)</f>
        <v>62886</v>
      </c>
      <c r="G228" s="569">
        <f>ROUND(F228*(1+(D228/100)),0)</f>
        <v>66735</v>
      </c>
      <c r="H228" s="569">
        <f>ROUND(G228*(1+(COLA/100)),0)</f>
        <v>68737</v>
      </c>
      <c r="I228" s="569">
        <f>ROUND(H228/12,0)</f>
        <v>5728</v>
      </c>
      <c r="J228" s="455" t="s">
        <v>348</v>
      </c>
    </row>
    <row r="229" spans="1:10" hidden="1" x14ac:dyDescent="0.3">
      <c r="A229" s="455" t="s">
        <v>509</v>
      </c>
      <c r="B229" s="455" t="s">
        <v>510</v>
      </c>
      <c r="C229" s="539" t="s">
        <v>197</v>
      </c>
      <c r="D229" s="539">
        <v>6.12</v>
      </c>
      <c r="E229" s="567">
        <v>30697.919999999998</v>
      </c>
      <c r="F229" s="568">
        <f t="shared" si="63"/>
        <v>30698</v>
      </c>
      <c r="G229" s="568">
        <f t="shared" si="61"/>
        <v>32577</v>
      </c>
      <c r="H229" s="568">
        <f t="shared" si="50"/>
        <v>33554</v>
      </c>
      <c r="I229" s="568">
        <f t="shared" si="62"/>
        <v>2796</v>
      </c>
      <c r="J229" s="455" t="s">
        <v>302</v>
      </c>
    </row>
    <row r="230" spans="1:10" hidden="1" x14ac:dyDescent="0.3">
      <c r="A230" s="455" t="s">
        <v>511</v>
      </c>
      <c r="B230" s="455" t="s">
        <v>114</v>
      </c>
      <c r="C230" s="539" t="s">
        <v>197</v>
      </c>
      <c r="D230" s="539">
        <v>6.12</v>
      </c>
      <c r="E230" s="571">
        <v>67895</v>
      </c>
      <c r="F230" s="568">
        <f t="shared" si="63"/>
        <v>67895</v>
      </c>
      <c r="G230" s="568">
        <f t="shared" si="61"/>
        <v>72050</v>
      </c>
      <c r="H230" s="568">
        <f t="shared" ref="H230" si="68">ROUND(G230*(1+(COLA/100)),0)</f>
        <v>74212</v>
      </c>
      <c r="I230" s="568">
        <f t="shared" si="62"/>
        <v>6184</v>
      </c>
      <c r="J230" s="455" t="s">
        <v>277</v>
      </c>
    </row>
    <row r="231" spans="1:10" hidden="1" x14ac:dyDescent="0.3">
      <c r="A231" s="455" t="s">
        <v>512</v>
      </c>
      <c r="B231" s="455" t="s">
        <v>120</v>
      </c>
      <c r="C231" s="539" t="s">
        <v>200</v>
      </c>
      <c r="D231" s="539" t="s">
        <v>201</v>
      </c>
      <c r="E231" s="567">
        <v>82131</v>
      </c>
      <c r="F231" s="568">
        <f t="shared" si="63"/>
        <v>109508</v>
      </c>
      <c r="G231" s="568">
        <f t="shared" si="61"/>
        <v>109508</v>
      </c>
      <c r="H231" s="568">
        <f t="shared" ref="H231" si="69">ROUND(G231*(1+(COLA/100)),0)</f>
        <v>112793</v>
      </c>
      <c r="I231" s="568">
        <f t="shared" si="62"/>
        <v>9399</v>
      </c>
      <c r="J231" s="455" t="s">
        <v>225</v>
      </c>
    </row>
    <row r="232" spans="1:10" hidden="1" x14ac:dyDescent="0.3">
      <c r="A232" s="455" t="s">
        <v>513</v>
      </c>
      <c r="B232" s="455" t="s">
        <v>1064</v>
      </c>
      <c r="C232" s="539" t="s">
        <v>197</v>
      </c>
      <c r="D232" s="539">
        <v>6.12</v>
      </c>
      <c r="E232" s="567">
        <v>43470.22</v>
      </c>
      <c r="F232" s="568">
        <f t="shared" si="63"/>
        <v>43470</v>
      </c>
      <c r="G232" s="568">
        <f t="shared" si="61"/>
        <v>46130</v>
      </c>
      <c r="H232" s="568">
        <f t="shared" si="50"/>
        <v>47514</v>
      </c>
      <c r="I232" s="568">
        <f t="shared" si="62"/>
        <v>3960</v>
      </c>
      <c r="J232" s="455" t="s">
        <v>240</v>
      </c>
    </row>
    <row r="233" spans="1:10" hidden="1" x14ac:dyDescent="0.3">
      <c r="A233" s="455" t="s">
        <v>514</v>
      </c>
      <c r="B233" s="455" t="s">
        <v>117</v>
      </c>
      <c r="C233" s="539" t="s">
        <v>200</v>
      </c>
      <c r="D233" s="539" t="s">
        <v>201</v>
      </c>
      <c r="E233" s="567">
        <v>60681</v>
      </c>
      <c r="F233" s="568">
        <f t="shared" si="63"/>
        <v>80908</v>
      </c>
      <c r="G233" s="568">
        <f t="shared" si="61"/>
        <v>80908</v>
      </c>
      <c r="H233" s="568">
        <f t="shared" si="50"/>
        <v>83335</v>
      </c>
      <c r="I233" s="568">
        <f t="shared" si="62"/>
        <v>6945</v>
      </c>
      <c r="J233" s="455" t="s">
        <v>209</v>
      </c>
    </row>
    <row r="234" spans="1:10" hidden="1" x14ac:dyDescent="0.3">
      <c r="A234" s="455" t="s">
        <v>515</v>
      </c>
      <c r="B234" s="455" t="s">
        <v>146</v>
      </c>
      <c r="C234" s="539" t="s">
        <v>197</v>
      </c>
      <c r="D234" s="539">
        <v>8.33</v>
      </c>
      <c r="E234" s="567">
        <v>155595</v>
      </c>
      <c r="F234" s="568">
        <f t="shared" si="63"/>
        <v>155595</v>
      </c>
      <c r="G234" s="568">
        <f t="shared" si="61"/>
        <v>168556</v>
      </c>
      <c r="H234" s="568">
        <f t="shared" si="50"/>
        <v>173613</v>
      </c>
      <c r="I234" s="568">
        <f t="shared" si="62"/>
        <v>14468</v>
      </c>
      <c r="J234" s="455" t="s">
        <v>516</v>
      </c>
    </row>
    <row r="235" spans="1:10" hidden="1" x14ac:dyDescent="0.3">
      <c r="A235" s="455" t="s">
        <v>517</v>
      </c>
      <c r="B235" s="455" t="s">
        <v>100</v>
      </c>
      <c r="C235" s="539" t="s">
        <v>197</v>
      </c>
      <c r="D235" s="539">
        <v>6.12</v>
      </c>
      <c r="E235" s="567">
        <v>35598.17</v>
      </c>
      <c r="F235" s="568">
        <f t="shared" si="63"/>
        <v>35598</v>
      </c>
      <c r="G235" s="568">
        <f t="shared" si="61"/>
        <v>37777</v>
      </c>
      <c r="H235" s="568">
        <f t="shared" si="50"/>
        <v>38910</v>
      </c>
      <c r="I235" s="568">
        <f t="shared" si="62"/>
        <v>3243</v>
      </c>
      <c r="J235" s="455" t="s">
        <v>518</v>
      </c>
    </row>
    <row r="236" spans="1:10" hidden="1" x14ac:dyDescent="0.3">
      <c r="A236" s="455" t="s">
        <v>519</v>
      </c>
      <c r="B236" s="455" t="s">
        <v>140</v>
      </c>
      <c r="C236" s="539" t="s">
        <v>200</v>
      </c>
      <c r="D236" s="539" t="s">
        <v>201</v>
      </c>
      <c r="E236" s="567">
        <v>67111</v>
      </c>
      <c r="F236" s="568">
        <f t="shared" si="63"/>
        <v>89481</v>
      </c>
      <c r="G236" s="568">
        <f t="shared" si="61"/>
        <v>89481</v>
      </c>
      <c r="H236" s="568">
        <f t="shared" si="50"/>
        <v>92165</v>
      </c>
      <c r="I236" s="568">
        <f t="shared" si="62"/>
        <v>7680</v>
      </c>
      <c r="J236" s="455" t="s">
        <v>225</v>
      </c>
    </row>
    <row r="237" spans="1:10" hidden="1" x14ac:dyDescent="0.3">
      <c r="A237" s="455" t="s">
        <v>520</v>
      </c>
      <c r="B237" s="455" t="s">
        <v>1062</v>
      </c>
      <c r="C237" s="539" t="s">
        <v>197</v>
      </c>
      <c r="D237" s="539">
        <v>6.12</v>
      </c>
      <c r="E237" s="567">
        <v>34878.43</v>
      </c>
      <c r="F237" s="568">
        <f t="shared" si="63"/>
        <v>34878</v>
      </c>
      <c r="G237" s="568">
        <f t="shared" si="61"/>
        <v>37013</v>
      </c>
      <c r="H237" s="568">
        <f t="shared" si="50"/>
        <v>38123</v>
      </c>
      <c r="I237" s="568">
        <f t="shared" si="62"/>
        <v>3177</v>
      </c>
      <c r="J237" s="455" t="s">
        <v>302</v>
      </c>
    </row>
    <row r="238" spans="1:10" hidden="1" x14ac:dyDescent="0.3">
      <c r="A238" s="455" t="s">
        <v>521</v>
      </c>
      <c r="B238" s="455" t="s">
        <v>1061</v>
      </c>
      <c r="C238" s="539" t="s">
        <v>200</v>
      </c>
      <c r="D238" s="539" t="s">
        <v>201</v>
      </c>
      <c r="E238" s="567">
        <v>97249</v>
      </c>
      <c r="F238" s="568">
        <f t="shared" si="63"/>
        <v>129665</v>
      </c>
      <c r="G238" s="568">
        <f t="shared" si="61"/>
        <v>129665</v>
      </c>
      <c r="H238" s="568">
        <f t="shared" si="50"/>
        <v>133555</v>
      </c>
      <c r="I238" s="568">
        <f t="shared" si="62"/>
        <v>11130</v>
      </c>
      <c r="J238" s="455" t="s">
        <v>225</v>
      </c>
    </row>
    <row r="239" spans="1:10" hidden="1" x14ac:dyDescent="0.3">
      <c r="A239" s="455" t="s">
        <v>522</v>
      </c>
      <c r="B239" s="455" t="s">
        <v>1061</v>
      </c>
      <c r="C239" s="539" t="s">
        <v>200</v>
      </c>
      <c r="D239" s="539" t="s">
        <v>201</v>
      </c>
      <c r="E239" s="567">
        <v>99452</v>
      </c>
      <c r="F239" s="568">
        <f t="shared" si="63"/>
        <v>132603</v>
      </c>
      <c r="G239" s="568">
        <f t="shared" si="61"/>
        <v>132603</v>
      </c>
      <c r="H239" s="568">
        <f t="shared" si="50"/>
        <v>136581</v>
      </c>
      <c r="I239" s="568">
        <f t="shared" si="62"/>
        <v>11382</v>
      </c>
      <c r="J239" s="455" t="s">
        <v>225</v>
      </c>
    </row>
    <row r="240" spans="1:10" hidden="1" x14ac:dyDescent="0.3">
      <c r="A240" s="455" t="s">
        <v>523</v>
      </c>
      <c r="B240" s="455" t="s">
        <v>1059</v>
      </c>
      <c r="C240" s="539" t="s">
        <v>200</v>
      </c>
      <c r="D240" s="539" t="s">
        <v>201</v>
      </c>
      <c r="E240" s="567">
        <v>51433</v>
      </c>
      <c r="F240" s="568">
        <f t="shared" si="63"/>
        <v>68577</v>
      </c>
      <c r="G240" s="568">
        <f t="shared" si="61"/>
        <v>68577</v>
      </c>
      <c r="H240" s="568">
        <f t="shared" si="50"/>
        <v>70634</v>
      </c>
      <c r="I240" s="568">
        <f t="shared" si="62"/>
        <v>5886</v>
      </c>
      <c r="J240" s="455" t="s">
        <v>209</v>
      </c>
    </row>
    <row r="241" spans="1:10" hidden="1" x14ac:dyDescent="0.3">
      <c r="A241" s="455" t="s">
        <v>524</v>
      </c>
      <c r="B241" s="455" t="s">
        <v>1062</v>
      </c>
      <c r="C241" s="539" t="s">
        <v>200</v>
      </c>
      <c r="D241" s="539" t="s">
        <v>201</v>
      </c>
      <c r="E241" s="567">
        <v>80559</v>
      </c>
      <c r="F241" s="568">
        <f t="shared" si="63"/>
        <v>107412</v>
      </c>
      <c r="G241" s="568">
        <f t="shared" si="61"/>
        <v>107412</v>
      </c>
      <c r="H241" s="568">
        <f t="shared" si="50"/>
        <v>110634</v>
      </c>
      <c r="I241" s="568">
        <f t="shared" si="62"/>
        <v>9220</v>
      </c>
      <c r="J241" s="455" t="s">
        <v>219</v>
      </c>
    </row>
    <row r="242" spans="1:10" hidden="1" x14ac:dyDescent="0.3">
      <c r="A242" s="455" t="s">
        <v>525</v>
      </c>
      <c r="B242" s="455" t="s">
        <v>126</v>
      </c>
      <c r="C242" s="539" t="s">
        <v>197</v>
      </c>
      <c r="D242" s="539">
        <v>6.12</v>
      </c>
      <c r="E242" s="567">
        <v>64618.43</v>
      </c>
      <c r="F242" s="568">
        <f t="shared" si="63"/>
        <v>64618</v>
      </c>
      <c r="G242" s="568">
        <f t="shared" si="61"/>
        <v>68573</v>
      </c>
      <c r="H242" s="568">
        <f t="shared" si="50"/>
        <v>70630</v>
      </c>
      <c r="I242" s="568">
        <f t="shared" si="62"/>
        <v>5886</v>
      </c>
      <c r="J242" s="455" t="s">
        <v>526</v>
      </c>
    </row>
    <row r="243" spans="1:10" hidden="1" x14ac:dyDescent="0.3">
      <c r="A243" s="455" t="s">
        <v>527</v>
      </c>
      <c r="B243" s="455" t="s">
        <v>1069</v>
      </c>
      <c r="C243" s="539" t="s">
        <v>197</v>
      </c>
      <c r="D243" s="539">
        <v>6.12</v>
      </c>
      <c r="E243" s="567">
        <v>26370.98</v>
      </c>
      <c r="F243" s="568">
        <f t="shared" si="63"/>
        <v>26371</v>
      </c>
      <c r="G243" s="568">
        <f t="shared" si="61"/>
        <v>27985</v>
      </c>
      <c r="H243" s="568">
        <f t="shared" si="50"/>
        <v>28825</v>
      </c>
      <c r="I243" s="568">
        <f t="shared" si="62"/>
        <v>2402</v>
      </c>
      <c r="J243" s="455" t="s">
        <v>221</v>
      </c>
    </row>
    <row r="244" spans="1:10" hidden="1" x14ac:dyDescent="0.3">
      <c r="A244" s="455" t="s">
        <v>528</v>
      </c>
      <c r="B244" s="455" t="s">
        <v>136</v>
      </c>
      <c r="C244" s="539" t="s">
        <v>197</v>
      </c>
      <c r="D244" s="539">
        <v>6.12</v>
      </c>
      <c r="E244" s="567">
        <v>358176</v>
      </c>
      <c r="F244" s="568">
        <f t="shared" si="63"/>
        <v>358176</v>
      </c>
      <c r="G244" s="568">
        <f t="shared" si="61"/>
        <v>380096</v>
      </c>
      <c r="H244" s="568">
        <f t="shared" si="50"/>
        <v>391499</v>
      </c>
      <c r="I244" s="568">
        <f t="shared" si="62"/>
        <v>32625</v>
      </c>
      <c r="J244" s="455" t="s">
        <v>529</v>
      </c>
    </row>
    <row r="245" spans="1:10" hidden="1" x14ac:dyDescent="0.3">
      <c r="A245" s="455" t="s">
        <v>530</v>
      </c>
      <c r="B245" s="455" t="s">
        <v>104</v>
      </c>
      <c r="C245" s="539" t="s">
        <v>197</v>
      </c>
      <c r="D245" s="539">
        <v>6.12</v>
      </c>
      <c r="E245" s="567">
        <v>76850</v>
      </c>
      <c r="F245" s="568">
        <f t="shared" si="63"/>
        <v>76850</v>
      </c>
      <c r="G245" s="568">
        <f t="shared" si="61"/>
        <v>81553</v>
      </c>
      <c r="H245" s="568">
        <f t="shared" si="50"/>
        <v>84000</v>
      </c>
      <c r="I245" s="568">
        <f t="shared" si="62"/>
        <v>7000</v>
      </c>
      <c r="J245" s="455" t="s">
        <v>213</v>
      </c>
    </row>
    <row r="246" spans="1:10" hidden="1" x14ac:dyDescent="0.3">
      <c r="A246" s="455" t="s">
        <v>531</v>
      </c>
      <c r="B246" s="455" t="s">
        <v>142</v>
      </c>
      <c r="C246" s="539" t="s">
        <v>197</v>
      </c>
      <c r="D246" s="539">
        <v>6.12</v>
      </c>
      <c r="E246" s="567">
        <v>58681</v>
      </c>
      <c r="F246" s="568">
        <f t="shared" si="63"/>
        <v>58681</v>
      </c>
      <c r="G246" s="568">
        <f t="shared" si="61"/>
        <v>62272</v>
      </c>
      <c r="H246" s="568">
        <f t="shared" si="50"/>
        <v>64140</v>
      </c>
      <c r="I246" s="568">
        <f t="shared" si="62"/>
        <v>5345</v>
      </c>
      <c r="J246" s="455" t="s">
        <v>307</v>
      </c>
    </row>
    <row r="247" spans="1:10" hidden="1" x14ac:dyDescent="0.3">
      <c r="A247" s="455" t="s">
        <v>532</v>
      </c>
      <c r="B247" s="455" t="s">
        <v>1061</v>
      </c>
      <c r="C247" s="539" t="s">
        <v>200</v>
      </c>
      <c r="D247" s="539" t="s">
        <v>201</v>
      </c>
      <c r="E247" s="567">
        <v>88849</v>
      </c>
      <c r="F247" s="568">
        <f t="shared" si="63"/>
        <v>118465</v>
      </c>
      <c r="G247" s="568">
        <f t="shared" si="61"/>
        <v>118465</v>
      </c>
      <c r="H247" s="568">
        <f t="shared" si="50"/>
        <v>122019</v>
      </c>
      <c r="I247" s="568">
        <f t="shared" si="62"/>
        <v>10168</v>
      </c>
      <c r="J247" s="455" t="s">
        <v>219</v>
      </c>
    </row>
    <row r="248" spans="1:10" hidden="1" x14ac:dyDescent="0.3">
      <c r="A248" s="455" t="s">
        <v>533</v>
      </c>
      <c r="B248" s="455" t="s">
        <v>124</v>
      </c>
      <c r="C248" s="539" t="s">
        <v>200</v>
      </c>
      <c r="D248" s="539" t="s">
        <v>201</v>
      </c>
      <c r="E248" s="567">
        <v>62748</v>
      </c>
      <c r="F248" s="568">
        <f t="shared" si="63"/>
        <v>83664</v>
      </c>
      <c r="G248" s="568">
        <f t="shared" si="61"/>
        <v>83664</v>
      </c>
      <c r="H248" s="568">
        <f t="shared" ref="H248:H297" si="70">ROUND(G248*(1+(COLA/100)),0)</f>
        <v>86174</v>
      </c>
      <c r="I248" s="568">
        <f t="shared" si="62"/>
        <v>7181</v>
      </c>
      <c r="J248" s="455" t="s">
        <v>209</v>
      </c>
    </row>
    <row r="249" spans="1:10" hidden="1" x14ac:dyDescent="0.3">
      <c r="A249" s="455" t="s">
        <v>534</v>
      </c>
      <c r="B249" s="455" t="s">
        <v>134</v>
      </c>
      <c r="C249" s="539" t="s">
        <v>200</v>
      </c>
      <c r="D249" s="539" t="s">
        <v>201</v>
      </c>
      <c r="E249" s="567">
        <v>88267</v>
      </c>
      <c r="F249" s="569">
        <f t="shared" ref="F249" si="71">ROUND(E249/C249*12,0)</f>
        <v>117689</v>
      </c>
      <c r="G249" s="569">
        <f t="shared" si="61"/>
        <v>117689</v>
      </c>
      <c r="H249" s="569">
        <f t="shared" ref="H249" si="72">ROUND(G249*(1+(COLA/100)),0)</f>
        <v>121220</v>
      </c>
      <c r="I249" s="569">
        <f t="shared" si="62"/>
        <v>10102</v>
      </c>
      <c r="J249" s="455" t="s">
        <v>219</v>
      </c>
    </row>
    <row r="250" spans="1:10" hidden="1" x14ac:dyDescent="0.3">
      <c r="A250" s="455" t="s">
        <v>535</v>
      </c>
      <c r="B250" s="455" t="s">
        <v>1064</v>
      </c>
      <c r="C250" s="539" t="s">
        <v>197</v>
      </c>
      <c r="D250" s="539">
        <v>6.12</v>
      </c>
      <c r="E250" s="567">
        <v>56038.27</v>
      </c>
      <c r="F250" s="569">
        <f t="shared" si="63"/>
        <v>56038</v>
      </c>
      <c r="G250" s="569">
        <f t="shared" si="61"/>
        <v>59468</v>
      </c>
      <c r="H250" s="569">
        <f t="shared" si="70"/>
        <v>61252</v>
      </c>
      <c r="I250" s="569">
        <f t="shared" si="62"/>
        <v>5104</v>
      </c>
      <c r="J250" s="455" t="s">
        <v>444</v>
      </c>
    </row>
    <row r="251" spans="1:10" hidden="1" x14ac:dyDescent="0.3">
      <c r="A251" s="455" t="s">
        <v>536</v>
      </c>
      <c r="B251" s="455" t="s">
        <v>1063</v>
      </c>
      <c r="C251" s="539" t="s">
        <v>200</v>
      </c>
      <c r="D251" s="539" t="s">
        <v>201</v>
      </c>
      <c r="E251" s="567">
        <v>48997</v>
      </c>
      <c r="F251" s="568">
        <f t="shared" si="63"/>
        <v>65329</v>
      </c>
      <c r="G251" s="568">
        <f t="shared" si="61"/>
        <v>65329</v>
      </c>
      <c r="H251" s="568">
        <f t="shared" si="70"/>
        <v>67289</v>
      </c>
      <c r="I251" s="568">
        <f t="shared" si="62"/>
        <v>5607</v>
      </c>
      <c r="J251" s="455" t="s">
        <v>209</v>
      </c>
    </row>
    <row r="252" spans="1:10" hidden="1" x14ac:dyDescent="0.3">
      <c r="A252" s="455" t="s">
        <v>537</v>
      </c>
      <c r="B252" s="455" t="s">
        <v>1068</v>
      </c>
      <c r="C252" s="539" t="s">
        <v>197</v>
      </c>
      <c r="D252" s="539">
        <v>6.12</v>
      </c>
      <c r="E252" s="567">
        <v>47393</v>
      </c>
      <c r="F252" s="568">
        <f>ROUND(E252/C252*12,0)</f>
        <v>47393</v>
      </c>
      <c r="G252" s="568">
        <f>ROUND(F252*(1+(D252/100)),0)</f>
        <v>50293</v>
      </c>
      <c r="H252" s="568">
        <f>ROUND(G252*(1+(COLA/100)),0)</f>
        <v>51802</v>
      </c>
      <c r="I252" s="568">
        <f>ROUND(H252/12,0)</f>
        <v>4317</v>
      </c>
      <c r="J252" s="455" t="s">
        <v>255</v>
      </c>
    </row>
    <row r="253" spans="1:10" hidden="1" x14ac:dyDescent="0.3">
      <c r="A253" s="455" t="s">
        <v>538</v>
      </c>
      <c r="B253" s="455" t="s">
        <v>1063</v>
      </c>
      <c r="C253" s="539" t="s">
        <v>197</v>
      </c>
      <c r="D253" s="539">
        <v>8.33</v>
      </c>
      <c r="E253" s="567">
        <v>110388</v>
      </c>
      <c r="F253" s="568">
        <f t="shared" si="63"/>
        <v>110388</v>
      </c>
      <c r="G253" s="568">
        <f t="shared" si="61"/>
        <v>119583</v>
      </c>
      <c r="H253" s="568">
        <f t="shared" si="70"/>
        <v>123170</v>
      </c>
      <c r="I253" s="568">
        <f t="shared" si="62"/>
        <v>10264</v>
      </c>
      <c r="J253" s="455" t="s">
        <v>539</v>
      </c>
    </row>
    <row r="254" spans="1:10" hidden="1" x14ac:dyDescent="0.3">
      <c r="A254" s="455" t="s">
        <v>540</v>
      </c>
      <c r="B254" s="455" t="s">
        <v>125</v>
      </c>
      <c r="C254" s="539" t="s">
        <v>197</v>
      </c>
      <c r="D254" s="539">
        <v>6.12</v>
      </c>
      <c r="E254" s="567">
        <v>230000</v>
      </c>
      <c r="F254" s="569">
        <f t="shared" si="63"/>
        <v>230000</v>
      </c>
      <c r="G254" s="568">
        <f t="shared" si="61"/>
        <v>244076</v>
      </c>
      <c r="H254" s="568">
        <f t="shared" si="70"/>
        <v>251398</v>
      </c>
      <c r="I254" s="568">
        <f t="shared" si="62"/>
        <v>20950</v>
      </c>
      <c r="J254" s="455" t="s">
        <v>217</v>
      </c>
    </row>
    <row r="255" spans="1:10" hidden="1" x14ac:dyDescent="0.3">
      <c r="A255" s="455" t="s">
        <v>541</v>
      </c>
      <c r="B255" s="455" t="s">
        <v>1069</v>
      </c>
      <c r="C255" s="539" t="s">
        <v>197</v>
      </c>
      <c r="D255" s="539">
        <v>6.12</v>
      </c>
      <c r="E255" s="567">
        <v>28617.71</v>
      </c>
      <c r="F255" s="569">
        <f t="shared" si="63"/>
        <v>28618</v>
      </c>
      <c r="G255" s="568">
        <f t="shared" si="61"/>
        <v>30369</v>
      </c>
      <c r="H255" s="568">
        <f t="shared" si="70"/>
        <v>31280</v>
      </c>
      <c r="I255" s="568">
        <f t="shared" si="62"/>
        <v>2607</v>
      </c>
      <c r="J255" s="455" t="s">
        <v>221</v>
      </c>
    </row>
    <row r="256" spans="1:10" hidden="1" x14ac:dyDescent="0.3">
      <c r="A256" s="455" t="s">
        <v>542</v>
      </c>
      <c r="B256" s="455" t="s">
        <v>1069</v>
      </c>
      <c r="C256" s="539" t="s">
        <v>197</v>
      </c>
      <c r="D256" s="539">
        <v>6.12</v>
      </c>
      <c r="E256" s="567">
        <v>106649</v>
      </c>
      <c r="F256" s="569">
        <f t="shared" si="63"/>
        <v>106649</v>
      </c>
      <c r="G256" s="568">
        <f t="shared" si="61"/>
        <v>113176</v>
      </c>
      <c r="H256" s="568">
        <f t="shared" si="70"/>
        <v>116571</v>
      </c>
      <c r="I256" s="568">
        <f t="shared" si="62"/>
        <v>9714</v>
      </c>
      <c r="J256" s="455" t="s">
        <v>198</v>
      </c>
    </row>
    <row r="257" spans="1:10" hidden="1" x14ac:dyDescent="0.3">
      <c r="A257" s="455" t="s">
        <v>543</v>
      </c>
      <c r="B257" s="455" t="s">
        <v>107</v>
      </c>
      <c r="C257" s="539" t="s">
        <v>200</v>
      </c>
      <c r="D257" s="539" t="s">
        <v>201</v>
      </c>
      <c r="E257" s="567">
        <v>90371</v>
      </c>
      <c r="F257" s="568">
        <f>ROUND(E257/C257*12,0)</f>
        <v>120495</v>
      </c>
      <c r="G257" s="568">
        <f>ROUND(F257*(1+(D257/100)),0)</f>
        <v>120495</v>
      </c>
      <c r="H257" s="568">
        <f>ROUND(G257*(1+(COLA/100)),0)</f>
        <v>124110</v>
      </c>
      <c r="I257" s="568">
        <f>ROUND(H257/12,0)</f>
        <v>10343</v>
      </c>
      <c r="J257" s="455" t="s">
        <v>225</v>
      </c>
    </row>
    <row r="258" spans="1:10" ht="15" hidden="1" customHeight="1" x14ac:dyDescent="0.3">
      <c r="A258" s="455" t="s">
        <v>544</v>
      </c>
      <c r="B258" s="455" t="s">
        <v>1069</v>
      </c>
      <c r="C258" s="539" t="s">
        <v>197</v>
      </c>
      <c r="D258" s="539">
        <v>6.12</v>
      </c>
      <c r="E258" s="567">
        <v>28617.71</v>
      </c>
      <c r="F258" s="568">
        <f t="shared" si="63"/>
        <v>28618</v>
      </c>
      <c r="G258" s="568">
        <f t="shared" si="61"/>
        <v>30369</v>
      </c>
      <c r="H258" s="568">
        <f t="shared" si="70"/>
        <v>31280</v>
      </c>
      <c r="I258" s="568">
        <f t="shared" si="62"/>
        <v>2607</v>
      </c>
      <c r="J258" s="455" t="s">
        <v>221</v>
      </c>
    </row>
    <row r="259" spans="1:10" hidden="1" x14ac:dyDescent="0.3">
      <c r="A259" s="455" t="s">
        <v>545</v>
      </c>
      <c r="B259" s="455" t="s">
        <v>117</v>
      </c>
      <c r="C259" s="539" t="s">
        <v>197</v>
      </c>
      <c r="D259" s="539">
        <v>6.12</v>
      </c>
      <c r="E259" s="567">
        <v>85843</v>
      </c>
      <c r="F259" s="568">
        <f t="shared" si="63"/>
        <v>85843</v>
      </c>
      <c r="G259" s="568">
        <f t="shared" si="61"/>
        <v>91097</v>
      </c>
      <c r="H259" s="568">
        <f t="shared" si="70"/>
        <v>93830</v>
      </c>
      <c r="I259" s="568">
        <f t="shared" si="62"/>
        <v>7819</v>
      </c>
      <c r="J259" s="455" t="s">
        <v>386</v>
      </c>
    </row>
    <row r="260" spans="1:10" hidden="1" x14ac:dyDescent="0.3">
      <c r="A260" s="455" t="s">
        <v>546</v>
      </c>
      <c r="B260" s="455" t="s">
        <v>124</v>
      </c>
      <c r="C260" s="539" t="s">
        <v>200</v>
      </c>
      <c r="D260" s="539" t="s">
        <v>201</v>
      </c>
      <c r="E260" s="567">
        <v>94891</v>
      </c>
      <c r="F260" s="568">
        <f t="shared" si="63"/>
        <v>126521</v>
      </c>
      <c r="G260" s="568">
        <f t="shared" si="61"/>
        <v>126521</v>
      </c>
      <c r="H260" s="568">
        <f t="shared" si="70"/>
        <v>130317</v>
      </c>
      <c r="I260" s="568">
        <f t="shared" si="62"/>
        <v>10860</v>
      </c>
      <c r="J260" s="455" t="s">
        <v>225</v>
      </c>
    </row>
    <row r="261" spans="1:10" hidden="1" x14ac:dyDescent="0.3">
      <c r="A261" s="455" t="s">
        <v>547</v>
      </c>
      <c r="B261" s="455" t="s">
        <v>144</v>
      </c>
      <c r="C261" s="539" t="s">
        <v>197</v>
      </c>
      <c r="D261" s="539">
        <v>8.33</v>
      </c>
      <c r="E261" s="567">
        <v>69984.27</v>
      </c>
      <c r="F261" s="568">
        <f t="shared" si="63"/>
        <v>69984</v>
      </c>
      <c r="G261" s="568">
        <f t="shared" si="61"/>
        <v>75814</v>
      </c>
      <c r="H261" s="568">
        <f t="shared" si="70"/>
        <v>78088</v>
      </c>
      <c r="I261" s="568">
        <f t="shared" si="62"/>
        <v>6507</v>
      </c>
      <c r="J261" s="455" t="s">
        <v>206</v>
      </c>
    </row>
    <row r="262" spans="1:10" hidden="1" x14ac:dyDescent="0.3">
      <c r="A262" s="455" t="s">
        <v>548</v>
      </c>
      <c r="B262" s="455" t="s">
        <v>1062</v>
      </c>
      <c r="C262" s="539">
        <v>9</v>
      </c>
      <c r="D262" s="539">
        <v>0</v>
      </c>
      <c r="E262" s="567">
        <v>83700</v>
      </c>
      <c r="F262" s="568">
        <f>ROUND(E262/C262*12,0)</f>
        <v>111600</v>
      </c>
      <c r="G262" s="568">
        <f t="shared" ref="G262" si="73">ROUND(F262*(1+(D262/100)),0)</f>
        <v>111600</v>
      </c>
      <c r="H262" s="568">
        <f t="shared" ref="H262" si="74">ROUND(G262*(1+(COLA/100)),0)</f>
        <v>114948</v>
      </c>
      <c r="I262" s="568">
        <f t="shared" ref="I262" si="75">ROUND(H262/12,0)</f>
        <v>9579</v>
      </c>
      <c r="J262" s="455" t="s">
        <v>219</v>
      </c>
    </row>
    <row r="263" spans="1:10" hidden="1" x14ac:dyDescent="0.3">
      <c r="A263" s="455" t="s">
        <v>549</v>
      </c>
      <c r="B263" s="455" t="s">
        <v>102</v>
      </c>
      <c r="C263" s="539" t="s">
        <v>197</v>
      </c>
      <c r="D263" s="539">
        <v>6.12</v>
      </c>
      <c r="E263" s="567">
        <v>162992</v>
      </c>
      <c r="F263" s="569">
        <f t="shared" ref="F263" si="76">ROUND(E263/C263*12,0)</f>
        <v>162992</v>
      </c>
      <c r="G263" s="569">
        <f t="shared" ref="G263" si="77">ROUND(F263*(1+(D263/100)),0)</f>
        <v>172967</v>
      </c>
      <c r="H263" s="569">
        <f t="shared" ref="H263" si="78">ROUND(G263*(1+(COLA/100)),0)</f>
        <v>178156</v>
      </c>
      <c r="I263" s="569">
        <f t="shared" ref="I263" si="79">ROUND(H263/12,0)</f>
        <v>14846</v>
      </c>
      <c r="J263" s="455" t="s">
        <v>217</v>
      </c>
    </row>
    <row r="264" spans="1:10" hidden="1" x14ac:dyDescent="0.3">
      <c r="A264" s="455" t="s">
        <v>550</v>
      </c>
      <c r="B264" s="455" t="s">
        <v>104</v>
      </c>
      <c r="C264" s="539" t="s">
        <v>200</v>
      </c>
      <c r="D264" s="539" t="s">
        <v>201</v>
      </c>
      <c r="E264" s="567">
        <v>103702</v>
      </c>
      <c r="F264" s="568">
        <f>ROUND(E264/C264*12,0)</f>
        <v>138269</v>
      </c>
      <c r="G264" s="568">
        <f t="shared" si="61"/>
        <v>138269</v>
      </c>
      <c r="H264" s="568">
        <f t="shared" si="70"/>
        <v>142417</v>
      </c>
      <c r="I264" s="568">
        <f t="shared" si="62"/>
        <v>11868</v>
      </c>
      <c r="J264" s="455" t="s">
        <v>225</v>
      </c>
    </row>
    <row r="265" spans="1:10" hidden="1" x14ac:dyDescent="0.3">
      <c r="A265" s="455" t="s">
        <v>551</v>
      </c>
      <c r="B265" s="455" t="s">
        <v>117</v>
      </c>
      <c r="C265" s="539" t="s">
        <v>200</v>
      </c>
      <c r="D265" s="539" t="s">
        <v>201</v>
      </c>
      <c r="E265" s="567">
        <v>85311</v>
      </c>
      <c r="F265" s="568">
        <f t="shared" si="63"/>
        <v>113748</v>
      </c>
      <c r="G265" s="568">
        <f t="shared" si="61"/>
        <v>113748</v>
      </c>
      <c r="H265" s="568">
        <f t="shared" si="70"/>
        <v>117160</v>
      </c>
      <c r="I265" s="568">
        <f t="shared" si="62"/>
        <v>9763</v>
      </c>
      <c r="J265" s="455" t="s">
        <v>225</v>
      </c>
    </row>
    <row r="266" spans="1:10" hidden="1" x14ac:dyDescent="0.3">
      <c r="A266" s="455" t="s">
        <v>552</v>
      </c>
      <c r="B266" s="455" t="s">
        <v>118</v>
      </c>
      <c r="C266" s="539" t="s">
        <v>197</v>
      </c>
      <c r="D266" s="539">
        <v>6.12</v>
      </c>
      <c r="E266" s="567">
        <v>38555.629999999997</v>
      </c>
      <c r="F266" s="568">
        <f t="shared" si="63"/>
        <v>38556</v>
      </c>
      <c r="G266" s="568">
        <f t="shared" si="61"/>
        <v>40916</v>
      </c>
      <c r="H266" s="568">
        <f t="shared" si="70"/>
        <v>42143</v>
      </c>
      <c r="I266" s="568">
        <f t="shared" si="62"/>
        <v>3512</v>
      </c>
      <c r="J266" s="455" t="s">
        <v>553</v>
      </c>
    </row>
    <row r="267" spans="1:10" hidden="1" x14ac:dyDescent="0.3">
      <c r="A267" s="455" t="s">
        <v>554</v>
      </c>
      <c r="B267" s="455" t="s">
        <v>134</v>
      </c>
      <c r="C267" s="539" t="s">
        <v>197</v>
      </c>
      <c r="D267" s="539">
        <v>6.12</v>
      </c>
      <c r="E267" s="567">
        <v>158070</v>
      </c>
      <c r="F267" s="568">
        <f t="shared" si="63"/>
        <v>158070</v>
      </c>
      <c r="G267" s="568">
        <f t="shared" si="61"/>
        <v>167744</v>
      </c>
      <c r="H267" s="568">
        <f t="shared" si="70"/>
        <v>172776</v>
      </c>
      <c r="I267" s="568">
        <f t="shared" si="62"/>
        <v>14398</v>
      </c>
      <c r="J267" s="455" t="s">
        <v>539</v>
      </c>
    </row>
    <row r="268" spans="1:10" hidden="1" x14ac:dyDescent="0.3">
      <c r="A268" s="455" t="s">
        <v>555</v>
      </c>
      <c r="B268" s="455" t="s">
        <v>1061</v>
      </c>
      <c r="C268" s="539" t="s">
        <v>200</v>
      </c>
      <c r="D268" s="539" t="s">
        <v>201</v>
      </c>
      <c r="E268" s="567">
        <v>61848</v>
      </c>
      <c r="F268" s="568">
        <f t="shared" si="63"/>
        <v>82464</v>
      </c>
      <c r="G268" s="568">
        <f t="shared" si="61"/>
        <v>82464</v>
      </c>
      <c r="H268" s="568">
        <f t="shared" si="70"/>
        <v>84938</v>
      </c>
      <c r="I268" s="568">
        <f t="shared" si="62"/>
        <v>7078</v>
      </c>
      <c r="J268" s="455" t="s">
        <v>209</v>
      </c>
    </row>
    <row r="269" spans="1:10" hidden="1" x14ac:dyDescent="0.3">
      <c r="A269" s="455" t="s">
        <v>556</v>
      </c>
      <c r="B269" s="455" t="s">
        <v>122</v>
      </c>
      <c r="C269" s="539" t="s">
        <v>197</v>
      </c>
      <c r="D269" s="539">
        <v>8.33</v>
      </c>
      <c r="E269" s="567">
        <v>103989</v>
      </c>
      <c r="F269" s="568">
        <f>ROUND(E269/C269*12,0)</f>
        <v>103989</v>
      </c>
      <c r="G269" s="568">
        <f>ROUND(F269*(1+(D269/100)),0)</f>
        <v>112651</v>
      </c>
      <c r="H269" s="568">
        <f>ROUND(G269*(1+(COLA/100)),0)</f>
        <v>116031</v>
      </c>
      <c r="I269" s="568">
        <f>ROUND(H269/12,0)</f>
        <v>9669</v>
      </c>
      <c r="J269" s="455" t="s">
        <v>557</v>
      </c>
    </row>
    <row r="270" spans="1:10" hidden="1" x14ac:dyDescent="0.3">
      <c r="A270" s="455" t="s">
        <v>558</v>
      </c>
      <c r="B270" s="455" t="s">
        <v>146</v>
      </c>
      <c r="C270" s="539" t="s">
        <v>197</v>
      </c>
      <c r="D270" s="539">
        <v>6.12</v>
      </c>
      <c r="E270" s="567">
        <v>41230.379999999997</v>
      </c>
      <c r="F270" s="568">
        <f t="shared" si="63"/>
        <v>41230</v>
      </c>
      <c r="G270" s="568">
        <f t="shared" si="61"/>
        <v>43753</v>
      </c>
      <c r="H270" s="568">
        <f t="shared" si="70"/>
        <v>45066</v>
      </c>
      <c r="I270" s="568">
        <f t="shared" si="62"/>
        <v>3756</v>
      </c>
      <c r="J270" s="455" t="s">
        <v>233</v>
      </c>
    </row>
    <row r="271" spans="1:10" hidden="1" x14ac:dyDescent="0.3">
      <c r="A271" s="455" t="s">
        <v>559</v>
      </c>
      <c r="B271" s="455" t="s">
        <v>1059</v>
      </c>
      <c r="C271" s="539" t="s">
        <v>197</v>
      </c>
      <c r="D271" s="539">
        <v>6.12</v>
      </c>
      <c r="E271" s="567">
        <v>48673</v>
      </c>
      <c r="F271" s="568">
        <f t="shared" si="63"/>
        <v>48673</v>
      </c>
      <c r="G271" s="568">
        <f t="shared" si="61"/>
        <v>51652</v>
      </c>
      <c r="H271" s="568">
        <f t="shared" si="70"/>
        <v>53202</v>
      </c>
      <c r="I271" s="568">
        <f t="shared" si="62"/>
        <v>4434</v>
      </c>
      <c r="J271" s="455" t="s">
        <v>244</v>
      </c>
    </row>
    <row r="272" spans="1:10" hidden="1" x14ac:dyDescent="0.3">
      <c r="A272" s="455" t="s">
        <v>560</v>
      </c>
      <c r="B272" s="455" t="s">
        <v>126</v>
      </c>
      <c r="C272" s="539" t="s">
        <v>197</v>
      </c>
      <c r="D272" s="539">
        <v>8.33</v>
      </c>
      <c r="E272" s="567">
        <v>55408.76</v>
      </c>
      <c r="F272" s="568">
        <f t="shared" si="63"/>
        <v>55409</v>
      </c>
      <c r="G272" s="568">
        <f t="shared" si="61"/>
        <v>60025</v>
      </c>
      <c r="H272" s="568">
        <f t="shared" si="70"/>
        <v>61826</v>
      </c>
      <c r="I272" s="568">
        <f t="shared" si="62"/>
        <v>5152</v>
      </c>
      <c r="J272" s="455" t="s">
        <v>444</v>
      </c>
    </row>
    <row r="273" spans="1:10" hidden="1" x14ac:dyDescent="0.3">
      <c r="A273" s="455" t="s">
        <v>561</v>
      </c>
      <c r="B273" s="455" t="s">
        <v>129</v>
      </c>
      <c r="C273" s="539" t="s">
        <v>197</v>
      </c>
      <c r="D273" s="539">
        <v>6.12</v>
      </c>
      <c r="E273" s="567">
        <v>96999</v>
      </c>
      <c r="F273" s="568">
        <f t="shared" si="63"/>
        <v>96999</v>
      </c>
      <c r="G273" s="568">
        <f t="shared" si="61"/>
        <v>102935</v>
      </c>
      <c r="H273" s="568">
        <f t="shared" si="70"/>
        <v>106023</v>
      </c>
      <c r="I273" s="568">
        <f t="shared" si="62"/>
        <v>8835</v>
      </c>
      <c r="J273" s="455" t="s">
        <v>562</v>
      </c>
    </row>
    <row r="274" spans="1:10" hidden="1" x14ac:dyDescent="0.3">
      <c r="A274" s="455" t="s">
        <v>563</v>
      </c>
      <c r="B274" s="455" t="s">
        <v>1069</v>
      </c>
      <c r="C274" s="539" t="s">
        <v>197</v>
      </c>
      <c r="D274" s="539">
        <v>6.12</v>
      </c>
      <c r="E274" s="567">
        <v>25421.05</v>
      </c>
      <c r="F274" s="568">
        <f t="shared" si="63"/>
        <v>25421</v>
      </c>
      <c r="G274" s="568">
        <f t="shared" si="61"/>
        <v>26977</v>
      </c>
      <c r="H274" s="568">
        <f t="shared" si="70"/>
        <v>27786</v>
      </c>
      <c r="I274" s="568">
        <f t="shared" si="62"/>
        <v>2316</v>
      </c>
      <c r="J274" s="455" t="s">
        <v>221</v>
      </c>
    </row>
    <row r="275" spans="1:10" hidden="1" x14ac:dyDescent="0.3">
      <c r="A275" s="455" t="s">
        <v>564</v>
      </c>
      <c r="B275" s="455" t="s">
        <v>124</v>
      </c>
      <c r="C275" s="539" t="s">
        <v>200</v>
      </c>
      <c r="D275" s="539" t="s">
        <v>201</v>
      </c>
      <c r="E275" s="567">
        <v>95081</v>
      </c>
      <c r="F275" s="568">
        <f t="shared" si="63"/>
        <v>126775</v>
      </c>
      <c r="G275" s="568">
        <f t="shared" si="61"/>
        <v>126775</v>
      </c>
      <c r="H275" s="568">
        <f t="shared" si="70"/>
        <v>130578</v>
      </c>
      <c r="I275" s="568">
        <f t="shared" si="62"/>
        <v>10882</v>
      </c>
      <c r="J275" s="455" t="s">
        <v>225</v>
      </c>
    </row>
    <row r="276" spans="1:10" hidden="1" x14ac:dyDescent="0.3">
      <c r="A276" s="455" t="s">
        <v>565</v>
      </c>
      <c r="B276" s="455" t="s">
        <v>1059</v>
      </c>
      <c r="C276" s="539" t="s">
        <v>200</v>
      </c>
      <c r="D276" s="539" t="s">
        <v>201</v>
      </c>
      <c r="E276" s="567">
        <v>71739</v>
      </c>
      <c r="F276" s="569">
        <f t="shared" ref="F276" si="80">ROUND(E276/C276*12,0)</f>
        <v>95652</v>
      </c>
      <c r="G276" s="569">
        <f t="shared" ref="G276" si="81">ROUND(F276*(1+(D276/100)),0)</f>
        <v>95652</v>
      </c>
      <c r="H276" s="569">
        <f t="shared" ref="H276" si="82">ROUND(G276*(1+(COLA/100)),0)</f>
        <v>98522</v>
      </c>
      <c r="I276" s="569">
        <f t="shared" ref="I276" si="83">ROUND(H276/12,0)</f>
        <v>8210</v>
      </c>
      <c r="J276" s="455" t="s">
        <v>271</v>
      </c>
    </row>
    <row r="277" spans="1:10" hidden="1" x14ac:dyDescent="0.3">
      <c r="A277" s="455" t="s">
        <v>566</v>
      </c>
      <c r="B277" s="455" t="s">
        <v>107</v>
      </c>
      <c r="C277" s="539" t="s">
        <v>200</v>
      </c>
      <c r="D277" s="539" t="s">
        <v>201</v>
      </c>
      <c r="E277" s="567">
        <v>95552</v>
      </c>
      <c r="F277" s="568">
        <f t="shared" si="63"/>
        <v>127403</v>
      </c>
      <c r="G277" s="568">
        <f t="shared" si="61"/>
        <v>127403</v>
      </c>
      <c r="H277" s="568">
        <f t="shared" si="70"/>
        <v>131225</v>
      </c>
      <c r="I277" s="568">
        <f t="shared" si="62"/>
        <v>10935</v>
      </c>
      <c r="J277" s="455" t="s">
        <v>219</v>
      </c>
    </row>
    <row r="278" spans="1:10" hidden="1" x14ac:dyDescent="0.3">
      <c r="A278" s="455" t="s">
        <v>567</v>
      </c>
      <c r="B278" s="455" t="s">
        <v>104</v>
      </c>
      <c r="C278" s="539" t="s">
        <v>200</v>
      </c>
      <c r="D278" s="539" t="s">
        <v>201</v>
      </c>
      <c r="E278" s="567">
        <v>95988</v>
      </c>
      <c r="F278" s="568">
        <f t="shared" ref="F278" si="84">ROUND(E278/C278*12,0)</f>
        <v>127984</v>
      </c>
      <c r="G278" s="568">
        <f t="shared" ref="G278" si="85">ROUND(F278*(1+(D278/100)),0)</f>
        <v>127984</v>
      </c>
      <c r="H278" s="568">
        <f t="shared" ref="H278" si="86">ROUND(G278*(1+(COLA/100)),0)</f>
        <v>131824</v>
      </c>
      <c r="I278" s="568">
        <f t="shared" ref="I278" si="87">ROUND(H278/12,0)</f>
        <v>10985</v>
      </c>
      <c r="J278" s="455" t="s">
        <v>568</v>
      </c>
    </row>
    <row r="279" spans="1:10" hidden="1" x14ac:dyDescent="0.3">
      <c r="A279" s="455" t="s">
        <v>569</v>
      </c>
      <c r="B279" s="455" t="s">
        <v>104</v>
      </c>
      <c r="C279" s="539" t="s">
        <v>200</v>
      </c>
      <c r="D279" s="539" t="s">
        <v>201</v>
      </c>
      <c r="E279" s="567">
        <v>103136</v>
      </c>
      <c r="F279" s="568">
        <f t="shared" si="63"/>
        <v>137515</v>
      </c>
      <c r="G279" s="568">
        <f t="shared" si="61"/>
        <v>137515</v>
      </c>
      <c r="H279" s="568">
        <f t="shared" si="70"/>
        <v>141640</v>
      </c>
      <c r="I279" s="568">
        <f t="shared" si="62"/>
        <v>11803</v>
      </c>
      <c r="J279" s="455" t="s">
        <v>202</v>
      </c>
    </row>
    <row r="280" spans="1:10" hidden="1" x14ac:dyDescent="0.3">
      <c r="A280" s="455" t="s">
        <v>570</v>
      </c>
      <c r="B280" s="455" t="s">
        <v>107</v>
      </c>
      <c r="C280" s="539" t="s">
        <v>197</v>
      </c>
      <c r="D280" s="539">
        <v>6.12</v>
      </c>
      <c r="E280" s="567">
        <v>67369</v>
      </c>
      <c r="F280" s="569">
        <f t="shared" si="63"/>
        <v>67369</v>
      </c>
      <c r="G280" s="569">
        <f t="shared" si="61"/>
        <v>71492</v>
      </c>
      <c r="H280" s="569">
        <f t="shared" si="70"/>
        <v>73637</v>
      </c>
      <c r="I280" s="569">
        <f t="shared" si="62"/>
        <v>6136</v>
      </c>
      <c r="J280" s="455" t="s">
        <v>277</v>
      </c>
    </row>
    <row r="281" spans="1:10" hidden="1" x14ac:dyDescent="0.3">
      <c r="A281" s="455" t="s">
        <v>571</v>
      </c>
      <c r="B281" s="455" t="s">
        <v>144</v>
      </c>
      <c r="C281" s="539" t="s">
        <v>197</v>
      </c>
      <c r="D281" s="539">
        <v>6.12</v>
      </c>
      <c r="E281" s="567">
        <v>38577.370000000003</v>
      </c>
      <c r="F281" s="568">
        <f t="shared" si="63"/>
        <v>38577</v>
      </c>
      <c r="G281" s="568">
        <f t="shared" si="61"/>
        <v>40938</v>
      </c>
      <c r="H281" s="568">
        <f t="shared" si="70"/>
        <v>42166</v>
      </c>
      <c r="I281" s="568">
        <f t="shared" si="62"/>
        <v>3514</v>
      </c>
      <c r="J281" s="455" t="s">
        <v>261</v>
      </c>
    </row>
    <row r="282" spans="1:10" hidden="1" x14ac:dyDescent="0.3">
      <c r="A282" s="455" t="s">
        <v>572</v>
      </c>
      <c r="B282" s="455" t="s">
        <v>1059</v>
      </c>
      <c r="C282" s="539" t="s">
        <v>200</v>
      </c>
      <c r="D282" s="539" t="s">
        <v>201</v>
      </c>
      <c r="E282" s="567">
        <v>130282</v>
      </c>
      <c r="F282" s="568">
        <f t="shared" si="63"/>
        <v>173709</v>
      </c>
      <c r="G282" s="568">
        <f t="shared" si="61"/>
        <v>173709</v>
      </c>
      <c r="H282" s="568">
        <f t="shared" si="70"/>
        <v>178920</v>
      </c>
      <c r="I282" s="568">
        <f t="shared" si="62"/>
        <v>14910</v>
      </c>
      <c r="J282" s="455" t="s">
        <v>202</v>
      </c>
    </row>
    <row r="283" spans="1:10" hidden="1" x14ac:dyDescent="0.3">
      <c r="A283" s="455" t="s">
        <v>573</v>
      </c>
      <c r="B283" s="455" t="s">
        <v>97</v>
      </c>
      <c r="C283" s="539" t="s">
        <v>197</v>
      </c>
      <c r="D283" s="539">
        <v>6.12</v>
      </c>
      <c r="E283" s="567">
        <v>44314</v>
      </c>
      <c r="F283" s="568">
        <f t="shared" si="63"/>
        <v>44314</v>
      </c>
      <c r="G283" s="568">
        <f t="shared" si="61"/>
        <v>47026</v>
      </c>
      <c r="H283" s="568">
        <f t="shared" si="70"/>
        <v>48437</v>
      </c>
      <c r="I283" s="568">
        <f t="shared" si="62"/>
        <v>4036</v>
      </c>
      <c r="J283" s="455" t="s">
        <v>574</v>
      </c>
    </row>
    <row r="284" spans="1:10" hidden="1" x14ac:dyDescent="0.3">
      <c r="A284" s="455" t="s">
        <v>575</v>
      </c>
      <c r="B284" s="455" t="s">
        <v>1069</v>
      </c>
      <c r="C284" s="539" t="s">
        <v>197</v>
      </c>
      <c r="D284" s="539">
        <v>6.12</v>
      </c>
      <c r="E284" s="567">
        <v>55451</v>
      </c>
      <c r="F284" s="568">
        <f t="shared" si="63"/>
        <v>55451</v>
      </c>
      <c r="G284" s="568">
        <f t="shared" si="61"/>
        <v>58845</v>
      </c>
      <c r="H284" s="568">
        <f t="shared" si="70"/>
        <v>60610</v>
      </c>
      <c r="I284" s="568">
        <f t="shared" si="62"/>
        <v>5051</v>
      </c>
      <c r="J284" s="455" t="s">
        <v>307</v>
      </c>
    </row>
    <row r="285" spans="1:10" hidden="1" x14ac:dyDescent="0.3">
      <c r="A285" s="455" t="s">
        <v>576</v>
      </c>
      <c r="B285" s="455" t="s">
        <v>1059</v>
      </c>
      <c r="C285" s="539" t="s">
        <v>200</v>
      </c>
      <c r="D285" s="539" t="s">
        <v>201</v>
      </c>
      <c r="E285" s="567">
        <v>79077</v>
      </c>
      <c r="F285" s="568">
        <f t="shared" si="63"/>
        <v>105436</v>
      </c>
      <c r="G285" s="568">
        <f t="shared" ref="G285:G333" si="88">ROUND(F285*(1+(D285/100)),0)</f>
        <v>105436</v>
      </c>
      <c r="H285" s="568">
        <f t="shared" si="70"/>
        <v>108599</v>
      </c>
      <c r="I285" s="568">
        <f t="shared" ref="I285:I333" si="89">ROUND(H285/12,0)</f>
        <v>9050</v>
      </c>
      <c r="J285" s="455" t="s">
        <v>225</v>
      </c>
    </row>
    <row r="286" spans="1:10" hidden="1" x14ac:dyDescent="0.3">
      <c r="A286" s="455" t="s">
        <v>577</v>
      </c>
      <c r="B286" s="455" t="s">
        <v>129</v>
      </c>
      <c r="C286" s="539" t="s">
        <v>197</v>
      </c>
      <c r="D286" s="539">
        <v>6.12</v>
      </c>
      <c r="E286" s="567">
        <v>169047</v>
      </c>
      <c r="F286" s="568">
        <f t="shared" ref="F286:F333" si="90">ROUND(E286/C286*12,0)</f>
        <v>169047</v>
      </c>
      <c r="G286" s="568">
        <f t="shared" si="88"/>
        <v>179393</v>
      </c>
      <c r="H286" s="568">
        <f t="shared" si="70"/>
        <v>184775</v>
      </c>
      <c r="I286" s="568">
        <f t="shared" si="89"/>
        <v>15398</v>
      </c>
      <c r="J286" s="455" t="s">
        <v>217</v>
      </c>
    </row>
    <row r="287" spans="1:10" hidden="1" x14ac:dyDescent="0.3">
      <c r="A287" s="455" t="s">
        <v>578</v>
      </c>
      <c r="B287" s="455" t="s">
        <v>134</v>
      </c>
      <c r="C287" s="539" t="s">
        <v>200</v>
      </c>
      <c r="D287" s="539" t="s">
        <v>201</v>
      </c>
      <c r="E287" s="567">
        <v>87668</v>
      </c>
      <c r="F287" s="568">
        <f t="shared" si="90"/>
        <v>116891</v>
      </c>
      <c r="G287" s="568">
        <f t="shared" si="88"/>
        <v>116891</v>
      </c>
      <c r="H287" s="568">
        <f t="shared" si="70"/>
        <v>120398</v>
      </c>
      <c r="I287" s="568">
        <f t="shared" si="89"/>
        <v>10033</v>
      </c>
      <c r="J287" s="455" t="s">
        <v>202</v>
      </c>
    </row>
    <row r="288" spans="1:10" hidden="1" x14ac:dyDescent="0.3">
      <c r="A288" s="455" t="s">
        <v>579</v>
      </c>
      <c r="B288" s="455" t="s">
        <v>116</v>
      </c>
      <c r="C288" s="539" t="s">
        <v>197</v>
      </c>
      <c r="D288" s="539">
        <v>6.12</v>
      </c>
      <c r="E288" s="567">
        <v>59570</v>
      </c>
      <c r="F288" s="568">
        <f t="shared" si="90"/>
        <v>59570</v>
      </c>
      <c r="G288" s="568">
        <f t="shared" si="88"/>
        <v>63216</v>
      </c>
      <c r="H288" s="568">
        <f t="shared" si="70"/>
        <v>65112</v>
      </c>
      <c r="I288" s="568">
        <f t="shared" si="89"/>
        <v>5426</v>
      </c>
      <c r="J288" s="455" t="s">
        <v>255</v>
      </c>
    </row>
    <row r="289" spans="1:11" hidden="1" x14ac:dyDescent="0.3">
      <c r="A289" s="455" t="s">
        <v>580</v>
      </c>
      <c r="B289" s="455" t="s">
        <v>104</v>
      </c>
      <c r="C289" s="539" t="s">
        <v>197</v>
      </c>
      <c r="D289" s="539">
        <v>6.12</v>
      </c>
      <c r="E289" s="567">
        <v>56962</v>
      </c>
      <c r="F289" s="568">
        <f t="shared" si="90"/>
        <v>56962</v>
      </c>
      <c r="G289" s="568">
        <f t="shared" si="88"/>
        <v>60448</v>
      </c>
      <c r="H289" s="568">
        <f t="shared" ref="H289" si="91">ROUND(G289*(1+(COLA/100)),0)</f>
        <v>62261</v>
      </c>
      <c r="I289" s="568">
        <f t="shared" si="89"/>
        <v>5188</v>
      </c>
      <c r="J289" s="455" t="s">
        <v>581</v>
      </c>
    </row>
    <row r="290" spans="1:11" hidden="1" x14ac:dyDescent="0.3">
      <c r="A290" s="455" t="s">
        <v>582</v>
      </c>
      <c r="B290" s="455" t="s">
        <v>122</v>
      </c>
      <c r="C290" s="539" t="s">
        <v>197</v>
      </c>
      <c r="D290" s="539">
        <v>6.12</v>
      </c>
      <c r="E290" s="567">
        <v>68243.97</v>
      </c>
      <c r="F290" s="568">
        <f t="shared" si="90"/>
        <v>68244</v>
      </c>
      <c r="G290" s="568">
        <f t="shared" si="88"/>
        <v>72421</v>
      </c>
      <c r="H290" s="568">
        <f t="shared" si="70"/>
        <v>74594</v>
      </c>
      <c r="I290" s="568">
        <f t="shared" si="89"/>
        <v>6216</v>
      </c>
      <c r="J290" s="455" t="s">
        <v>583</v>
      </c>
    </row>
    <row r="291" spans="1:11" hidden="1" x14ac:dyDescent="0.3">
      <c r="A291" s="455" t="s">
        <v>584</v>
      </c>
      <c r="B291" s="455" t="s">
        <v>117</v>
      </c>
      <c r="C291" s="539" t="s">
        <v>200</v>
      </c>
      <c r="D291" s="539" t="s">
        <v>201</v>
      </c>
      <c r="E291" s="567">
        <v>99205</v>
      </c>
      <c r="F291" s="568">
        <f t="shared" si="90"/>
        <v>132273</v>
      </c>
      <c r="G291" s="568">
        <f t="shared" si="88"/>
        <v>132273</v>
      </c>
      <c r="H291" s="568">
        <f t="shared" si="70"/>
        <v>136241</v>
      </c>
      <c r="I291" s="568">
        <f t="shared" si="89"/>
        <v>11353</v>
      </c>
      <c r="J291" s="455" t="s">
        <v>202</v>
      </c>
    </row>
    <row r="292" spans="1:11" hidden="1" x14ac:dyDescent="0.3">
      <c r="A292" s="455" t="s">
        <v>585</v>
      </c>
      <c r="B292" s="455" t="s">
        <v>107</v>
      </c>
      <c r="C292" s="539" t="s">
        <v>200</v>
      </c>
      <c r="D292" s="539" t="s">
        <v>201</v>
      </c>
      <c r="E292" s="567">
        <v>177000</v>
      </c>
      <c r="F292" s="568">
        <f t="shared" si="90"/>
        <v>236000</v>
      </c>
      <c r="G292" s="568">
        <f t="shared" si="88"/>
        <v>236000</v>
      </c>
      <c r="H292" s="568">
        <f t="shared" si="70"/>
        <v>243080</v>
      </c>
      <c r="I292" s="568">
        <f t="shared" si="89"/>
        <v>20257</v>
      </c>
      <c r="J292" s="455" t="s">
        <v>202</v>
      </c>
    </row>
    <row r="293" spans="1:11" hidden="1" x14ac:dyDescent="0.3">
      <c r="A293" s="455" t="s">
        <v>586</v>
      </c>
      <c r="B293" s="455" t="s">
        <v>134</v>
      </c>
      <c r="C293" s="539" t="s">
        <v>200</v>
      </c>
      <c r="D293" s="539" t="s">
        <v>201</v>
      </c>
      <c r="E293" s="567">
        <v>103944</v>
      </c>
      <c r="F293" s="568">
        <f t="shared" si="90"/>
        <v>138592</v>
      </c>
      <c r="G293" s="568">
        <f t="shared" si="88"/>
        <v>138592</v>
      </c>
      <c r="H293" s="568">
        <f t="shared" si="70"/>
        <v>142750</v>
      </c>
      <c r="I293" s="568">
        <f t="shared" si="89"/>
        <v>11896</v>
      </c>
      <c r="J293" s="455" t="s">
        <v>225</v>
      </c>
    </row>
    <row r="294" spans="1:11" hidden="1" x14ac:dyDescent="0.3">
      <c r="A294" s="455" t="s">
        <v>587</v>
      </c>
      <c r="B294" s="455" t="s">
        <v>122</v>
      </c>
      <c r="C294" s="539" t="s">
        <v>197</v>
      </c>
      <c r="D294" s="539">
        <v>8.33</v>
      </c>
      <c r="E294" s="567">
        <v>64436.38</v>
      </c>
      <c r="F294" s="568">
        <f t="shared" si="90"/>
        <v>64436</v>
      </c>
      <c r="G294" s="568">
        <f t="shared" si="88"/>
        <v>69804</v>
      </c>
      <c r="H294" s="568">
        <f t="shared" si="70"/>
        <v>71898</v>
      </c>
      <c r="I294" s="568">
        <f t="shared" si="89"/>
        <v>5992</v>
      </c>
      <c r="J294" s="455" t="s">
        <v>465</v>
      </c>
    </row>
    <row r="295" spans="1:11" s="487" customFormat="1" hidden="1" x14ac:dyDescent="0.3">
      <c r="A295" s="455" t="s">
        <v>588</v>
      </c>
      <c r="B295" s="455" t="s">
        <v>124</v>
      </c>
      <c r="C295" s="539" t="s">
        <v>197</v>
      </c>
      <c r="D295" s="539">
        <v>8.33</v>
      </c>
      <c r="E295" s="567">
        <v>132718</v>
      </c>
      <c r="F295" s="568">
        <f t="shared" si="90"/>
        <v>132718</v>
      </c>
      <c r="G295" s="568">
        <f t="shared" si="88"/>
        <v>143773</v>
      </c>
      <c r="H295" s="568">
        <f t="shared" si="70"/>
        <v>148086</v>
      </c>
      <c r="I295" s="568">
        <f t="shared" si="89"/>
        <v>12341</v>
      </c>
      <c r="J295" s="455" t="s">
        <v>386</v>
      </c>
      <c r="K295"/>
    </row>
    <row r="296" spans="1:11" hidden="1" x14ac:dyDescent="0.3">
      <c r="A296" s="455" t="s">
        <v>589</v>
      </c>
      <c r="B296" s="455" t="s">
        <v>97</v>
      </c>
      <c r="C296" s="539">
        <v>9</v>
      </c>
      <c r="D296" s="539">
        <v>0</v>
      </c>
      <c r="E296" s="567">
        <v>36186</v>
      </c>
      <c r="F296" s="569">
        <f t="shared" ref="F296" si="92">ROUND(E296/C296*12,0)</f>
        <v>48248</v>
      </c>
      <c r="G296" s="569">
        <f t="shared" ref="G296" si="93">ROUND(F296*(1+(D296/100)),0)</f>
        <v>48248</v>
      </c>
      <c r="H296" s="569">
        <f t="shared" ref="H296" si="94">ROUND(G296*(1+(COLA/100)),0)</f>
        <v>49695</v>
      </c>
      <c r="I296" s="569">
        <f t="shared" ref="I296" si="95">ROUND(H296/12,0)</f>
        <v>4141</v>
      </c>
      <c r="J296" s="455" t="s">
        <v>590</v>
      </c>
    </row>
    <row r="297" spans="1:11" hidden="1" x14ac:dyDescent="0.3">
      <c r="A297" s="455" t="s">
        <v>591</v>
      </c>
      <c r="B297" s="455" t="s">
        <v>110</v>
      </c>
      <c r="C297" s="539" t="s">
        <v>197</v>
      </c>
      <c r="D297" s="539">
        <v>8.33</v>
      </c>
      <c r="E297" s="567">
        <v>54023</v>
      </c>
      <c r="F297" s="568">
        <f t="shared" si="90"/>
        <v>54023</v>
      </c>
      <c r="G297" s="568">
        <f t="shared" si="88"/>
        <v>58523</v>
      </c>
      <c r="H297" s="568">
        <f t="shared" si="70"/>
        <v>60279</v>
      </c>
      <c r="I297" s="568">
        <f t="shared" si="89"/>
        <v>5023</v>
      </c>
      <c r="J297" s="455" t="s">
        <v>348</v>
      </c>
    </row>
    <row r="298" spans="1:11" hidden="1" x14ac:dyDescent="0.3">
      <c r="A298" s="455" t="s">
        <v>592</v>
      </c>
      <c r="B298" s="455" t="s">
        <v>142</v>
      </c>
      <c r="C298" s="539" t="s">
        <v>197</v>
      </c>
      <c r="D298" s="539">
        <v>6.12</v>
      </c>
      <c r="E298" s="567">
        <v>46193</v>
      </c>
      <c r="F298" s="568">
        <f t="shared" si="90"/>
        <v>46193</v>
      </c>
      <c r="G298" s="568">
        <f t="shared" si="88"/>
        <v>49020</v>
      </c>
      <c r="H298" s="568">
        <f>ROUND(G298*(1+(COLA/100)),0)-1</f>
        <v>50490</v>
      </c>
      <c r="I298" s="568">
        <f t="shared" si="89"/>
        <v>4208</v>
      </c>
      <c r="J298" s="455" t="s">
        <v>307</v>
      </c>
    </row>
    <row r="299" spans="1:11" hidden="1" x14ac:dyDescent="0.3">
      <c r="A299" s="455" t="s">
        <v>593</v>
      </c>
      <c r="B299" s="455" t="s">
        <v>1063</v>
      </c>
      <c r="C299" s="539" t="s">
        <v>200</v>
      </c>
      <c r="D299" s="539" t="s">
        <v>201</v>
      </c>
      <c r="E299" s="567">
        <v>105697</v>
      </c>
      <c r="F299" s="568">
        <f t="shared" si="90"/>
        <v>140929</v>
      </c>
      <c r="G299" s="568">
        <f t="shared" si="88"/>
        <v>140929</v>
      </c>
      <c r="H299" s="568">
        <f t="shared" ref="H299:H333" si="96">ROUND(G299*(1+(COLA/100)),0)</f>
        <v>145157</v>
      </c>
      <c r="I299" s="568">
        <f t="shared" si="89"/>
        <v>12096</v>
      </c>
      <c r="J299" s="455" t="s">
        <v>202</v>
      </c>
    </row>
    <row r="300" spans="1:11" hidden="1" x14ac:dyDescent="0.3">
      <c r="A300" s="455" t="s">
        <v>594</v>
      </c>
      <c r="B300" s="455" t="s">
        <v>1069</v>
      </c>
      <c r="C300" s="539" t="s">
        <v>197</v>
      </c>
      <c r="D300" s="539">
        <v>6.12</v>
      </c>
      <c r="E300" s="567">
        <v>30596.6</v>
      </c>
      <c r="F300" s="568">
        <f t="shared" si="90"/>
        <v>30597</v>
      </c>
      <c r="G300" s="568">
        <f t="shared" si="88"/>
        <v>32470</v>
      </c>
      <c r="H300" s="568">
        <f t="shared" si="96"/>
        <v>33444</v>
      </c>
      <c r="I300" s="568">
        <f t="shared" si="89"/>
        <v>2787</v>
      </c>
      <c r="J300" s="455" t="s">
        <v>595</v>
      </c>
    </row>
    <row r="301" spans="1:11" hidden="1" x14ac:dyDescent="0.3">
      <c r="A301" s="455" t="s">
        <v>596</v>
      </c>
      <c r="B301" s="455" t="s">
        <v>119</v>
      </c>
      <c r="C301" s="539" t="s">
        <v>200</v>
      </c>
      <c r="D301" s="539" t="s">
        <v>201</v>
      </c>
      <c r="E301" s="567">
        <v>43512</v>
      </c>
      <c r="F301" s="568">
        <f t="shared" si="90"/>
        <v>58016</v>
      </c>
      <c r="G301" s="568">
        <f t="shared" si="88"/>
        <v>58016</v>
      </c>
      <c r="H301" s="568">
        <f t="shared" si="96"/>
        <v>59756</v>
      </c>
      <c r="I301" s="568">
        <f t="shared" si="89"/>
        <v>4980</v>
      </c>
      <c r="J301" s="455" t="s">
        <v>209</v>
      </c>
    </row>
    <row r="302" spans="1:11" hidden="1" x14ac:dyDescent="0.3">
      <c r="A302" s="455" t="s">
        <v>597</v>
      </c>
      <c r="B302" s="455" t="s">
        <v>93</v>
      </c>
      <c r="C302" s="539" t="s">
        <v>197</v>
      </c>
      <c r="D302" s="539">
        <v>6.12</v>
      </c>
      <c r="E302" s="567">
        <v>51783</v>
      </c>
      <c r="F302" s="568">
        <f t="shared" ref="F302" si="97">ROUND(E302/C302*12,0)</f>
        <v>51783</v>
      </c>
      <c r="G302" s="568">
        <f t="shared" ref="G302" si="98">ROUND(F302*(1+(D302/100)),0)</f>
        <v>54952</v>
      </c>
      <c r="H302" s="568">
        <f t="shared" ref="H302" si="99">ROUND(G302*(1+(COLA/100)),0)</f>
        <v>56601</v>
      </c>
      <c r="I302" s="568">
        <f t="shared" ref="I302" si="100">ROUND(H302/12,0)</f>
        <v>4717</v>
      </c>
      <c r="J302" s="455" t="s">
        <v>277</v>
      </c>
    </row>
    <row r="303" spans="1:11" hidden="1" x14ac:dyDescent="0.3">
      <c r="A303" s="455" t="s">
        <v>598</v>
      </c>
      <c r="B303" s="455" t="s">
        <v>97</v>
      </c>
      <c r="C303" s="539" t="s">
        <v>197</v>
      </c>
      <c r="D303" s="539">
        <v>6.12</v>
      </c>
      <c r="E303" s="567">
        <v>43441</v>
      </c>
      <c r="F303" s="568">
        <f t="shared" si="90"/>
        <v>43441</v>
      </c>
      <c r="G303" s="568">
        <f t="shared" si="88"/>
        <v>46100</v>
      </c>
      <c r="H303" s="568">
        <f t="shared" si="96"/>
        <v>47483</v>
      </c>
      <c r="I303" s="568">
        <f t="shared" si="89"/>
        <v>3957</v>
      </c>
      <c r="J303" s="455" t="s">
        <v>257</v>
      </c>
    </row>
    <row r="304" spans="1:11" hidden="1" x14ac:dyDescent="0.3">
      <c r="A304" s="455" t="s">
        <v>599</v>
      </c>
      <c r="B304" s="455" t="s">
        <v>1059</v>
      </c>
      <c r="C304" s="539" t="s">
        <v>197</v>
      </c>
      <c r="D304" s="539">
        <v>6.12</v>
      </c>
      <c r="E304" s="567">
        <v>53974</v>
      </c>
      <c r="F304" s="568">
        <f t="shared" si="90"/>
        <v>53974</v>
      </c>
      <c r="G304" s="568">
        <f t="shared" si="88"/>
        <v>57277</v>
      </c>
      <c r="H304" s="568">
        <f t="shared" si="96"/>
        <v>58995</v>
      </c>
      <c r="I304" s="568">
        <f t="shared" si="89"/>
        <v>4916</v>
      </c>
      <c r="J304" s="455" t="s">
        <v>213</v>
      </c>
    </row>
    <row r="305" spans="1:10" hidden="1" x14ac:dyDescent="0.3">
      <c r="A305" s="455" t="s">
        <v>600</v>
      </c>
      <c r="B305" s="455" t="s">
        <v>1062</v>
      </c>
      <c r="C305" s="539" t="s">
        <v>200</v>
      </c>
      <c r="D305" s="539" t="s">
        <v>201</v>
      </c>
      <c r="E305" s="567">
        <v>70812</v>
      </c>
      <c r="F305" s="568">
        <f t="shared" si="90"/>
        <v>94416</v>
      </c>
      <c r="G305" s="568">
        <f t="shared" si="88"/>
        <v>94416</v>
      </c>
      <c r="H305" s="568">
        <f t="shared" si="96"/>
        <v>97248</v>
      </c>
      <c r="I305" s="568">
        <f t="shared" si="89"/>
        <v>8104</v>
      </c>
      <c r="J305" s="455" t="s">
        <v>209</v>
      </c>
    </row>
    <row r="306" spans="1:10" hidden="1" x14ac:dyDescent="0.3">
      <c r="A306" s="455" t="s">
        <v>601</v>
      </c>
      <c r="B306" s="455" t="s">
        <v>122</v>
      </c>
      <c r="C306" s="539" t="s">
        <v>197</v>
      </c>
      <c r="D306" s="539">
        <v>6.12</v>
      </c>
      <c r="E306" s="567">
        <v>62188.98</v>
      </c>
      <c r="F306" s="568">
        <f t="shared" si="90"/>
        <v>62189</v>
      </c>
      <c r="G306" s="568">
        <f t="shared" si="88"/>
        <v>65995</v>
      </c>
      <c r="H306" s="568">
        <f t="shared" si="96"/>
        <v>67975</v>
      </c>
      <c r="I306" s="568">
        <f t="shared" si="89"/>
        <v>5665</v>
      </c>
      <c r="J306" s="455" t="s">
        <v>602</v>
      </c>
    </row>
    <row r="307" spans="1:10" hidden="1" x14ac:dyDescent="0.3">
      <c r="A307" s="455" t="s">
        <v>603</v>
      </c>
      <c r="B307" s="455" t="s">
        <v>119</v>
      </c>
      <c r="C307" s="539" t="s">
        <v>200</v>
      </c>
      <c r="D307" s="539" t="s">
        <v>201</v>
      </c>
      <c r="E307" s="567">
        <v>65593</v>
      </c>
      <c r="F307" s="568">
        <f t="shared" si="90"/>
        <v>87457</v>
      </c>
      <c r="G307" s="568">
        <f t="shared" si="88"/>
        <v>87457</v>
      </c>
      <c r="H307" s="568">
        <f t="shared" si="96"/>
        <v>90081</v>
      </c>
      <c r="I307" s="568">
        <f t="shared" si="89"/>
        <v>7507</v>
      </c>
      <c r="J307" s="455" t="s">
        <v>219</v>
      </c>
    </row>
    <row r="308" spans="1:10" hidden="1" x14ac:dyDescent="0.3">
      <c r="A308" s="455" t="s">
        <v>604</v>
      </c>
      <c r="B308" s="455" t="s">
        <v>1069</v>
      </c>
      <c r="C308" s="539" t="s">
        <v>197</v>
      </c>
      <c r="D308" s="539">
        <v>6.12</v>
      </c>
      <c r="E308" s="567">
        <v>33575.800000000003</v>
      </c>
      <c r="F308" s="568">
        <f t="shared" si="90"/>
        <v>33576</v>
      </c>
      <c r="G308" s="568">
        <f t="shared" si="88"/>
        <v>35631</v>
      </c>
      <c r="H308" s="568">
        <f t="shared" si="96"/>
        <v>36700</v>
      </c>
      <c r="I308" s="568">
        <f t="shared" si="89"/>
        <v>3058</v>
      </c>
      <c r="J308" s="455" t="s">
        <v>401</v>
      </c>
    </row>
    <row r="309" spans="1:10" hidden="1" x14ac:dyDescent="0.3">
      <c r="A309" s="455" t="s">
        <v>605</v>
      </c>
      <c r="B309" s="455" t="s">
        <v>146</v>
      </c>
      <c r="C309" s="539" t="s">
        <v>197</v>
      </c>
      <c r="D309" s="539">
        <v>6.12</v>
      </c>
      <c r="E309" s="567">
        <v>35600.22</v>
      </c>
      <c r="F309" s="568">
        <f t="shared" si="90"/>
        <v>35600</v>
      </c>
      <c r="G309" s="568">
        <f t="shared" si="88"/>
        <v>37779</v>
      </c>
      <c r="H309" s="568">
        <f t="shared" si="96"/>
        <v>38912</v>
      </c>
      <c r="I309" s="568">
        <f t="shared" si="89"/>
        <v>3243</v>
      </c>
      <c r="J309" s="455" t="s">
        <v>477</v>
      </c>
    </row>
    <row r="310" spans="1:10" hidden="1" x14ac:dyDescent="0.3">
      <c r="A310" s="455" t="s">
        <v>606</v>
      </c>
      <c r="B310" s="455" t="s">
        <v>1059</v>
      </c>
      <c r="C310" s="539" t="s">
        <v>197</v>
      </c>
      <c r="D310" s="539">
        <v>8.33</v>
      </c>
      <c r="E310" s="567">
        <v>34851.81</v>
      </c>
      <c r="F310" s="569">
        <f t="shared" si="90"/>
        <v>34852</v>
      </c>
      <c r="G310" s="569">
        <f t="shared" si="88"/>
        <v>37755</v>
      </c>
      <c r="H310" s="569">
        <f t="shared" si="96"/>
        <v>38888</v>
      </c>
      <c r="I310" s="569">
        <f t="shared" si="89"/>
        <v>3241</v>
      </c>
      <c r="J310" s="455" t="s">
        <v>233</v>
      </c>
    </row>
    <row r="311" spans="1:10" hidden="1" x14ac:dyDescent="0.3">
      <c r="A311" s="455" t="s">
        <v>607</v>
      </c>
      <c r="B311" s="455" t="s">
        <v>97</v>
      </c>
      <c r="C311" s="539" t="s">
        <v>197</v>
      </c>
      <c r="D311" s="539">
        <v>6.12</v>
      </c>
      <c r="E311" s="567">
        <v>55926</v>
      </c>
      <c r="F311" s="568">
        <f t="shared" si="90"/>
        <v>55926</v>
      </c>
      <c r="G311" s="568">
        <f t="shared" si="88"/>
        <v>59349</v>
      </c>
      <c r="H311" s="568">
        <f t="shared" si="96"/>
        <v>61129</v>
      </c>
      <c r="I311" s="568">
        <f t="shared" si="89"/>
        <v>5094</v>
      </c>
      <c r="J311" s="455" t="s">
        <v>398</v>
      </c>
    </row>
    <row r="312" spans="1:10" hidden="1" x14ac:dyDescent="0.3">
      <c r="A312" s="455" t="s">
        <v>608</v>
      </c>
      <c r="B312" s="455" t="s">
        <v>125</v>
      </c>
      <c r="C312" s="539" t="s">
        <v>200</v>
      </c>
      <c r="D312" s="539" t="s">
        <v>201</v>
      </c>
      <c r="E312" s="567">
        <v>91279</v>
      </c>
      <c r="F312" s="568">
        <f t="shared" si="90"/>
        <v>121705</v>
      </c>
      <c r="G312" s="568">
        <f t="shared" si="88"/>
        <v>121705</v>
      </c>
      <c r="H312" s="568">
        <f t="shared" si="96"/>
        <v>125356</v>
      </c>
      <c r="I312" s="568">
        <f t="shared" si="89"/>
        <v>10446</v>
      </c>
      <c r="J312" s="455" t="s">
        <v>219</v>
      </c>
    </row>
    <row r="313" spans="1:10" hidden="1" x14ac:dyDescent="0.3">
      <c r="A313" s="455" t="s">
        <v>609</v>
      </c>
      <c r="B313" s="455" t="s">
        <v>132</v>
      </c>
      <c r="C313" s="539" t="s">
        <v>197</v>
      </c>
      <c r="D313" s="539">
        <v>6.12</v>
      </c>
      <c r="E313" s="567">
        <v>46552</v>
      </c>
      <c r="F313" s="568">
        <f t="shared" si="90"/>
        <v>46552</v>
      </c>
      <c r="G313" s="568">
        <f t="shared" si="88"/>
        <v>49401</v>
      </c>
      <c r="H313" s="568">
        <f t="shared" ref="H313:H331" si="101">ROUND(G313*(1+(COLA/100)),0)</f>
        <v>50883</v>
      </c>
      <c r="I313" s="568">
        <f t="shared" si="89"/>
        <v>4240</v>
      </c>
      <c r="J313" s="455" t="s">
        <v>487</v>
      </c>
    </row>
    <row r="314" spans="1:10" hidden="1" x14ac:dyDescent="0.3">
      <c r="A314" s="455" t="s">
        <v>610</v>
      </c>
      <c r="B314" s="455" t="s">
        <v>117</v>
      </c>
      <c r="C314" s="539" t="s">
        <v>200</v>
      </c>
      <c r="D314" s="539" t="s">
        <v>201</v>
      </c>
      <c r="E314" s="567">
        <v>77781</v>
      </c>
      <c r="F314" s="568">
        <f t="shared" si="90"/>
        <v>103708</v>
      </c>
      <c r="G314" s="568">
        <f t="shared" si="88"/>
        <v>103708</v>
      </c>
      <c r="H314" s="568">
        <f t="shared" si="101"/>
        <v>106819</v>
      </c>
      <c r="I314" s="568">
        <f t="shared" si="89"/>
        <v>8902</v>
      </c>
      <c r="J314" s="455" t="s">
        <v>219</v>
      </c>
    </row>
    <row r="315" spans="1:10" hidden="1" x14ac:dyDescent="0.3">
      <c r="A315" s="455" t="s">
        <v>611</v>
      </c>
      <c r="B315" s="455" t="s">
        <v>117</v>
      </c>
      <c r="C315" s="539" t="s">
        <v>197</v>
      </c>
      <c r="D315" s="539">
        <v>8.33</v>
      </c>
      <c r="E315" s="567">
        <v>164782</v>
      </c>
      <c r="F315" s="568">
        <f t="shared" si="90"/>
        <v>164782</v>
      </c>
      <c r="G315" s="568">
        <f t="shared" si="88"/>
        <v>178508</v>
      </c>
      <c r="H315" s="568">
        <f t="shared" si="101"/>
        <v>183863</v>
      </c>
      <c r="I315" s="568">
        <f t="shared" si="89"/>
        <v>15322</v>
      </c>
      <c r="J315" s="455" t="s">
        <v>217</v>
      </c>
    </row>
    <row r="316" spans="1:10" hidden="1" x14ac:dyDescent="0.3">
      <c r="A316" s="455" t="s">
        <v>612</v>
      </c>
      <c r="B316" s="455" t="s">
        <v>140</v>
      </c>
      <c r="C316" s="539" t="s">
        <v>200</v>
      </c>
      <c r="D316" s="539" t="s">
        <v>201</v>
      </c>
      <c r="E316" s="567">
        <v>75071</v>
      </c>
      <c r="F316" s="568">
        <f t="shared" si="90"/>
        <v>100095</v>
      </c>
      <c r="G316" s="568">
        <f t="shared" si="88"/>
        <v>100095</v>
      </c>
      <c r="H316" s="568">
        <f t="shared" si="101"/>
        <v>103098</v>
      </c>
      <c r="I316" s="568">
        <f t="shared" si="89"/>
        <v>8592</v>
      </c>
      <c r="J316" s="455" t="s">
        <v>202</v>
      </c>
    </row>
    <row r="317" spans="1:10" hidden="1" x14ac:dyDescent="0.3">
      <c r="A317" s="455" t="s">
        <v>613</v>
      </c>
      <c r="B317" s="455" t="s">
        <v>146</v>
      </c>
      <c r="C317" s="539" t="s">
        <v>197</v>
      </c>
      <c r="D317" s="539">
        <v>6.12</v>
      </c>
      <c r="E317" s="567">
        <v>57068</v>
      </c>
      <c r="F317" s="568">
        <f t="shared" si="90"/>
        <v>57068</v>
      </c>
      <c r="G317" s="568">
        <f t="shared" si="88"/>
        <v>60561</v>
      </c>
      <c r="H317" s="568">
        <f t="shared" si="101"/>
        <v>62378</v>
      </c>
      <c r="I317" s="568">
        <f t="shared" si="89"/>
        <v>5198</v>
      </c>
      <c r="J317" s="455" t="s">
        <v>348</v>
      </c>
    </row>
    <row r="318" spans="1:10" hidden="1" x14ac:dyDescent="0.3">
      <c r="A318" s="455" t="s">
        <v>614</v>
      </c>
      <c r="B318" s="455" t="s">
        <v>110</v>
      </c>
      <c r="C318" s="539" t="s">
        <v>197</v>
      </c>
      <c r="D318" s="539">
        <v>6.12</v>
      </c>
      <c r="E318" s="567">
        <v>33181.19</v>
      </c>
      <c r="F318" s="568">
        <f t="shared" si="90"/>
        <v>33181</v>
      </c>
      <c r="G318" s="568">
        <f t="shared" si="88"/>
        <v>35212</v>
      </c>
      <c r="H318" s="568">
        <f t="shared" si="101"/>
        <v>36268</v>
      </c>
      <c r="I318" s="568">
        <f t="shared" si="89"/>
        <v>3022</v>
      </c>
      <c r="J318" s="455" t="s">
        <v>615</v>
      </c>
    </row>
    <row r="319" spans="1:10" hidden="1" x14ac:dyDescent="0.3">
      <c r="A319" s="455" t="s">
        <v>616</v>
      </c>
      <c r="B319" s="455" t="s">
        <v>136</v>
      </c>
      <c r="C319" s="539" t="s">
        <v>197</v>
      </c>
      <c r="D319" s="539">
        <v>6.12</v>
      </c>
      <c r="E319" s="567">
        <v>38188.07</v>
      </c>
      <c r="F319" s="568">
        <f t="shared" si="90"/>
        <v>38188</v>
      </c>
      <c r="G319" s="568">
        <f t="shared" si="88"/>
        <v>40525</v>
      </c>
      <c r="H319" s="568">
        <f t="shared" si="101"/>
        <v>41741</v>
      </c>
      <c r="I319" s="568">
        <f t="shared" si="89"/>
        <v>3478</v>
      </c>
      <c r="J319" s="455" t="s">
        <v>325</v>
      </c>
    </row>
    <row r="320" spans="1:10" hidden="1" x14ac:dyDescent="0.3">
      <c r="A320" s="455" t="s">
        <v>617</v>
      </c>
      <c r="B320" s="455" t="s">
        <v>1069</v>
      </c>
      <c r="C320" s="539" t="s">
        <v>197</v>
      </c>
      <c r="D320" s="539">
        <v>6.12</v>
      </c>
      <c r="E320" s="567">
        <v>37381.339999999997</v>
      </c>
      <c r="F320" s="568">
        <f t="shared" si="90"/>
        <v>37381</v>
      </c>
      <c r="G320" s="568">
        <f t="shared" si="88"/>
        <v>39669</v>
      </c>
      <c r="H320" s="568">
        <f t="shared" si="101"/>
        <v>40859</v>
      </c>
      <c r="I320" s="568">
        <f t="shared" si="89"/>
        <v>3405</v>
      </c>
      <c r="J320" s="455" t="s">
        <v>401</v>
      </c>
    </row>
    <row r="321" spans="1:10" hidden="1" x14ac:dyDescent="0.3">
      <c r="A321" s="455" t="s">
        <v>618</v>
      </c>
      <c r="B321" s="455" t="s">
        <v>1069</v>
      </c>
      <c r="C321" s="539" t="s">
        <v>197</v>
      </c>
      <c r="D321" s="539">
        <v>6.12</v>
      </c>
      <c r="E321" s="567">
        <v>35598.17</v>
      </c>
      <c r="F321" s="568">
        <f t="shared" si="90"/>
        <v>35598</v>
      </c>
      <c r="G321" s="568">
        <f t="shared" si="88"/>
        <v>37777</v>
      </c>
      <c r="H321" s="568">
        <f t="shared" si="101"/>
        <v>38910</v>
      </c>
      <c r="I321" s="568">
        <f t="shared" si="89"/>
        <v>3243</v>
      </c>
      <c r="J321" s="455" t="s">
        <v>401</v>
      </c>
    </row>
    <row r="322" spans="1:10" hidden="1" x14ac:dyDescent="0.3">
      <c r="A322" s="455" t="s">
        <v>619</v>
      </c>
      <c r="B322" s="455" t="s">
        <v>107</v>
      </c>
      <c r="C322" s="539">
        <v>9</v>
      </c>
      <c r="D322" s="539">
        <v>0</v>
      </c>
      <c r="E322" s="567">
        <v>78812</v>
      </c>
      <c r="F322" s="569">
        <f t="shared" ref="F322" si="102">ROUND(E322/C322*12,0)</f>
        <v>105083</v>
      </c>
      <c r="G322" s="569">
        <f t="shared" ref="G322" si="103">ROUND(F322*(1+(D322/100)),0)</f>
        <v>105083</v>
      </c>
      <c r="H322" s="569">
        <f t="shared" ref="H322" si="104">ROUND(G322*(1+(COLA/100)),0)</f>
        <v>108235</v>
      </c>
      <c r="I322" s="569">
        <f t="shared" ref="I322" si="105">ROUND(H322/12,0)</f>
        <v>9020</v>
      </c>
      <c r="J322" s="455" t="s">
        <v>568</v>
      </c>
    </row>
    <row r="323" spans="1:10" hidden="1" x14ac:dyDescent="0.3">
      <c r="A323" s="455" t="s">
        <v>620</v>
      </c>
      <c r="B323" s="455" t="s">
        <v>146</v>
      </c>
      <c r="C323" s="539" t="s">
        <v>197</v>
      </c>
      <c r="D323" s="539">
        <v>6.12</v>
      </c>
      <c r="E323" s="567">
        <v>52000</v>
      </c>
      <c r="F323" s="568">
        <f t="shared" si="90"/>
        <v>52000</v>
      </c>
      <c r="G323" s="568">
        <f t="shared" si="88"/>
        <v>55182</v>
      </c>
      <c r="H323" s="568">
        <f t="shared" si="101"/>
        <v>56837</v>
      </c>
      <c r="I323" s="568">
        <f t="shared" si="89"/>
        <v>4736</v>
      </c>
      <c r="J323" s="455" t="s">
        <v>255</v>
      </c>
    </row>
    <row r="324" spans="1:10" hidden="1" x14ac:dyDescent="0.3">
      <c r="A324" s="455" t="s">
        <v>621</v>
      </c>
      <c r="B324" s="455" t="s">
        <v>104</v>
      </c>
      <c r="C324" s="539" t="s">
        <v>200</v>
      </c>
      <c r="D324" s="539" t="s">
        <v>201</v>
      </c>
      <c r="E324" s="567">
        <v>92913</v>
      </c>
      <c r="F324" s="568">
        <f t="shared" si="90"/>
        <v>123884</v>
      </c>
      <c r="G324" s="568">
        <f t="shared" si="88"/>
        <v>123884</v>
      </c>
      <c r="H324" s="568">
        <f t="shared" si="101"/>
        <v>127601</v>
      </c>
      <c r="I324" s="568">
        <f t="shared" si="89"/>
        <v>10633</v>
      </c>
      <c r="J324" s="455" t="s">
        <v>219</v>
      </c>
    </row>
    <row r="325" spans="1:10" hidden="1" x14ac:dyDescent="0.3">
      <c r="A325" s="455" t="s">
        <v>622</v>
      </c>
      <c r="B325" s="455" t="s">
        <v>129</v>
      </c>
      <c r="C325" s="539" t="s">
        <v>200</v>
      </c>
      <c r="D325" s="539" t="s">
        <v>201</v>
      </c>
      <c r="E325" s="567">
        <v>74126</v>
      </c>
      <c r="F325" s="568">
        <f t="shared" si="90"/>
        <v>98835</v>
      </c>
      <c r="G325" s="568">
        <f t="shared" si="88"/>
        <v>98835</v>
      </c>
      <c r="H325" s="568">
        <f t="shared" si="101"/>
        <v>101800</v>
      </c>
      <c r="I325" s="568">
        <f t="shared" si="89"/>
        <v>8483</v>
      </c>
      <c r="J325" s="455" t="s">
        <v>219</v>
      </c>
    </row>
    <row r="326" spans="1:10" hidden="1" x14ac:dyDescent="0.3">
      <c r="A326" s="455" t="s">
        <v>623</v>
      </c>
      <c r="B326" s="455" t="s">
        <v>122</v>
      </c>
      <c r="C326" s="539" t="s">
        <v>197</v>
      </c>
      <c r="D326" s="539">
        <v>6.12</v>
      </c>
      <c r="E326" s="567">
        <v>63482.76</v>
      </c>
      <c r="F326" s="568">
        <f t="shared" si="90"/>
        <v>63483</v>
      </c>
      <c r="G326" s="568">
        <f t="shared" si="88"/>
        <v>67368</v>
      </c>
      <c r="H326" s="568">
        <f t="shared" si="101"/>
        <v>69389</v>
      </c>
      <c r="I326" s="568">
        <f t="shared" si="89"/>
        <v>5782</v>
      </c>
      <c r="J326" s="455" t="s">
        <v>465</v>
      </c>
    </row>
    <row r="327" spans="1:10" hidden="1" x14ac:dyDescent="0.3">
      <c r="A327" s="455" t="s">
        <v>624</v>
      </c>
      <c r="B327" s="455" t="s">
        <v>117</v>
      </c>
      <c r="C327" s="539" t="s">
        <v>200</v>
      </c>
      <c r="D327" s="539" t="s">
        <v>201</v>
      </c>
      <c r="E327" s="567">
        <v>77607</v>
      </c>
      <c r="F327" s="568">
        <f t="shared" si="90"/>
        <v>103476</v>
      </c>
      <c r="G327" s="568">
        <f t="shared" si="88"/>
        <v>103476</v>
      </c>
      <c r="H327" s="568">
        <f t="shared" si="101"/>
        <v>106580</v>
      </c>
      <c r="I327" s="568">
        <f t="shared" si="89"/>
        <v>8882</v>
      </c>
      <c r="J327" s="455" t="s">
        <v>219</v>
      </c>
    </row>
    <row r="328" spans="1:10" hidden="1" x14ac:dyDescent="0.3">
      <c r="A328" s="455" t="s">
        <v>625</v>
      </c>
      <c r="B328" s="455" t="s">
        <v>107</v>
      </c>
      <c r="C328" s="539" t="s">
        <v>200</v>
      </c>
      <c r="D328" s="539" t="s">
        <v>201</v>
      </c>
      <c r="E328" s="567">
        <v>83892</v>
      </c>
      <c r="F328" s="568">
        <f t="shared" si="90"/>
        <v>111856</v>
      </c>
      <c r="G328" s="568">
        <f t="shared" si="88"/>
        <v>111856</v>
      </c>
      <c r="H328" s="568">
        <f t="shared" ref="H328" si="106">ROUND(G328*(1+(COLA/100)),0)</f>
        <v>115212</v>
      </c>
      <c r="I328" s="568">
        <f t="shared" si="89"/>
        <v>9601</v>
      </c>
      <c r="J328" s="455" t="s">
        <v>219</v>
      </c>
    </row>
    <row r="329" spans="1:10" hidden="1" x14ac:dyDescent="0.3">
      <c r="A329" s="455" t="s">
        <v>626</v>
      </c>
      <c r="B329" s="455" t="s">
        <v>143</v>
      </c>
      <c r="C329" s="539" t="s">
        <v>197</v>
      </c>
      <c r="D329" s="539">
        <v>6.12</v>
      </c>
      <c r="E329" s="567">
        <v>35712.910000000003</v>
      </c>
      <c r="F329" s="568">
        <f t="shared" si="90"/>
        <v>35713</v>
      </c>
      <c r="G329" s="568">
        <f t="shared" si="88"/>
        <v>37899</v>
      </c>
      <c r="H329" s="568">
        <f t="shared" si="101"/>
        <v>39036</v>
      </c>
      <c r="I329" s="568">
        <f t="shared" si="89"/>
        <v>3253</v>
      </c>
      <c r="J329" s="455" t="s">
        <v>261</v>
      </c>
    </row>
    <row r="330" spans="1:10" hidden="1" x14ac:dyDescent="0.3">
      <c r="A330" s="455" t="s">
        <v>627</v>
      </c>
      <c r="B330" s="455" t="s">
        <v>1069</v>
      </c>
      <c r="C330" s="539" t="s">
        <v>197</v>
      </c>
      <c r="D330" s="539">
        <v>6.12</v>
      </c>
      <c r="E330" s="567">
        <v>46244.74</v>
      </c>
      <c r="F330" s="568">
        <f t="shared" si="90"/>
        <v>46245</v>
      </c>
      <c r="G330" s="568">
        <f t="shared" si="88"/>
        <v>49075</v>
      </c>
      <c r="H330" s="568">
        <f t="shared" si="101"/>
        <v>50547</v>
      </c>
      <c r="I330" s="568">
        <f t="shared" si="89"/>
        <v>4212</v>
      </c>
      <c r="J330" s="455" t="s">
        <v>329</v>
      </c>
    </row>
    <row r="331" spans="1:10" hidden="1" x14ac:dyDescent="0.3">
      <c r="A331" s="455" t="s">
        <v>628</v>
      </c>
      <c r="B331" s="455" t="s">
        <v>126</v>
      </c>
      <c r="C331" s="539" t="s">
        <v>197</v>
      </c>
      <c r="D331" s="539">
        <v>6.12</v>
      </c>
      <c r="E331" s="567">
        <v>141154</v>
      </c>
      <c r="F331" s="569">
        <f t="shared" si="90"/>
        <v>141154</v>
      </c>
      <c r="G331" s="569">
        <f t="shared" si="88"/>
        <v>149793</v>
      </c>
      <c r="H331" s="569">
        <f t="shared" si="101"/>
        <v>154287</v>
      </c>
      <c r="I331" s="569">
        <f t="shared" si="89"/>
        <v>12857</v>
      </c>
      <c r="J331" s="455" t="s">
        <v>539</v>
      </c>
    </row>
    <row r="332" spans="1:10" hidden="1" x14ac:dyDescent="0.3">
      <c r="A332" s="455" t="s">
        <v>629</v>
      </c>
      <c r="B332" s="455" t="s">
        <v>119</v>
      </c>
      <c r="C332" s="539" t="s">
        <v>200</v>
      </c>
      <c r="D332" s="539" t="s">
        <v>201</v>
      </c>
      <c r="E332" s="567">
        <v>43512</v>
      </c>
      <c r="F332" s="568">
        <f t="shared" si="90"/>
        <v>58016</v>
      </c>
      <c r="G332" s="568">
        <f t="shared" si="88"/>
        <v>58016</v>
      </c>
      <c r="H332" s="568">
        <f t="shared" si="96"/>
        <v>59756</v>
      </c>
      <c r="I332" s="568">
        <f t="shared" si="89"/>
        <v>4980</v>
      </c>
      <c r="J332" s="455" t="s">
        <v>250</v>
      </c>
    </row>
    <row r="333" spans="1:10" hidden="1" x14ac:dyDescent="0.3">
      <c r="A333" s="455" t="s">
        <v>630</v>
      </c>
      <c r="B333" s="455" t="s">
        <v>144</v>
      </c>
      <c r="C333" s="539" t="s">
        <v>197</v>
      </c>
      <c r="D333" s="539">
        <v>6.12</v>
      </c>
      <c r="E333" s="567">
        <v>35599.760000000002</v>
      </c>
      <c r="F333" s="568">
        <f t="shared" si="90"/>
        <v>35600</v>
      </c>
      <c r="G333" s="568">
        <f t="shared" si="88"/>
        <v>37779</v>
      </c>
      <c r="H333" s="568">
        <f t="shared" si="96"/>
        <v>38912</v>
      </c>
      <c r="I333" s="568">
        <f t="shared" si="89"/>
        <v>3243</v>
      </c>
      <c r="J333" s="455" t="s">
        <v>631</v>
      </c>
    </row>
    <row r="334" spans="1:10" hidden="1" x14ac:dyDescent="0.3">
      <c r="A334" s="455" t="s">
        <v>632</v>
      </c>
      <c r="B334" s="455" t="s">
        <v>119</v>
      </c>
      <c r="C334" s="539" t="s">
        <v>200</v>
      </c>
      <c r="D334" s="539" t="s">
        <v>201</v>
      </c>
      <c r="E334" s="567">
        <v>58230</v>
      </c>
      <c r="F334" s="568">
        <f t="shared" ref="F334:F346" si="107">ROUND(E334/C334*12,0)</f>
        <v>77640</v>
      </c>
      <c r="G334" s="568">
        <f t="shared" ref="G334:G346" si="108">ROUND(F334*(1+(D334/100)),0)</f>
        <v>77640</v>
      </c>
      <c r="H334" s="568">
        <f t="shared" ref="H334:H346" si="109">ROUND(G334*(1+(COLA/100)),0)</f>
        <v>79969</v>
      </c>
      <c r="I334" s="568">
        <f t="shared" ref="I334:I346" si="110">ROUND(H334/12,0)</f>
        <v>6664</v>
      </c>
      <c r="J334" s="455" t="s">
        <v>269</v>
      </c>
    </row>
    <row r="335" spans="1:10" hidden="1" x14ac:dyDescent="0.3">
      <c r="A335" s="455" t="s">
        <v>633</v>
      </c>
      <c r="B335" s="455" t="s">
        <v>1069</v>
      </c>
      <c r="C335" s="539" t="s">
        <v>197</v>
      </c>
      <c r="D335" s="539">
        <v>6.12</v>
      </c>
      <c r="E335" s="567">
        <v>27769.62</v>
      </c>
      <c r="F335" s="568">
        <f t="shared" si="107"/>
        <v>27770</v>
      </c>
      <c r="G335" s="568">
        <f t="shared" si="108"/>
        <v>29470</v>
      </c>
      <c r="H335" s="568">
        <f t="shared" si="109"/>
        <v>30354</v>
      </c>
      <c r="I335" s="568">
        <f t="shared" si="110"/>
        <v>2530</v>
      </c>
      <c r="J335" s="455" t="s">
        <v>221</v>
      </c>
    </row>
    <row r="336" spans="1:10" hidden="1" x14ac:dyDescent="0.3">
      <c r="A336" s="455" t="s">
        <v>634</v>
      </c>
      <c r="B336" s="455" t="s">
        <v>110</v>
      </c>
      <c r="C336" s="539" t="s">
        <v>197</v>
      </c>
      <c r="D336" s="539">
        <v>6.12</v>
      </c>
      <c r="E336" s="567">
        <v>30596.6</v>
      </c>
      <c r="F336" s="568">
        <f t="shared" si="107"/>
        <v>30597</v>
      </c>
      <c r="G336" s="568">
        <f t="shared" si="108"/>
        <v>32470</v>
      </c>
      <c r="H336" s="568">
        <f t="shared" si="109"/>
        <v>33444</v>
      </c>
      <c r="I336" s="568">
        <f t="shared" si="110"/>
        <v>2787</v>
      </c>
      <c r="J336" s="106" t="s">
        <v>635</v>
      </c>
    </row>
    <row r="337" spans="1:172" hidden="1" x14ac:dyDescent="0.3">
      <c r="A337" s="455" t="s">
        <v>636</v>
      </c>
      <c r="B337" s="455" t="s">
        <v>104</v>
      </c>
      <c r="C337" s="539" t="s">
        <v>197</v>
      </c>
      <c r="D337" s="539">
        <v>8.33</v>
      </c>
      <c r="E337" s="567">
        <v>135000</v>
      </c>
      <c r="F337" s="568">
        <f t="shared" si="107"/>
        <v>135000</v>
      </c>
      <c r="G337" s="568">
        <f t="shared" si="108"/>
        <v>146246</v>
      </c>
      <c r="H337" s="568">
        <f t="shared" si="109"/>
        <v>150633</v>
      </c>
      <c r="I337" s="568">
        <f t="shared" si="110"/>
        <v>12553</v>
      </c>
      <c r="J337" s="106" t="s">
        <v>217</v>
      </c>
    </row>
    <row r="338" spans="1:172" hidden="1" x14ac:dyDescent="0.3">
      <c r="A338" s="455" t="s">
        <v>637</v>
      </c>
      <c r="B338" s="455" t="s">
        <v>120</v>
      </c>
      <c r="C338" s="539" t="s">
        <v>197</v>
      </c>
      <c r="D338" s="539">
        <v>6.12</v>
      </c>
      <c r="E338" s="567">
        <v>181342</v>
      </c>
      <c r="F338" s="568">
        <f t="shared" si="107"/>
        <v>181342</v>
      </c>
      <c r="G338" s="568">
        <f t="shared" si="108"/>
        <v>192440</v>
      </c>
      <c r="H338" s="568">
        <f t="shared" si="109"/>
        <v>198213</v>
      </c>
      <c r="I338" s="568">
        <f t="shared" si="110"/>
        <v>16518</v>
      </c>
      <c r="J338" s="106" t="s">
        <v>638</v>
      </c>
    </row>
    <row r="339" spans="1:172" hidden="1" x14ac:dyDescent="0.3">
      <c r="A339" s="455" t="s">
        <v>639</v>
      </c>
      <c r="B339" s="455" t="s">
        <v>129</v>
      </c>
      <c r="C339" s="539" t="s">
        <v>200</v>
      </c>
      <c r="D339" s="539" t="s">
        <v>201</v>
      </c>
      <c r="E339" s="567">
        <v>75317</v>
      </c>
      <c r="F339" s="568">
        <f t="shared" si="107"/>
        <v>100423</v>
      </c>
      <c r="G339" s="568">
        <f t="shared" si="108"/>
        <v>100423</v>
      </c>
      <c r="H339" s="568">
        <f t="shared" si="109"/>
        <v>103436</v>
      </c>
      <c r="I339" s="568">
        <f t="shared" si="110"/>
        <v>8620</v>
      </c>
      <c r="J339" s="106" t="s">
        <v>219</v>
      </c>
    </row>
    <row r="340" spans="1:172" hidden="1" x14ac:dyDescent="0.3">
      <c r="A340" s="455" t="s">
        <v>640</v>
      </c>
      <c r="B340" s="455" t="s">
        <v>1069</v>
      </c>
      <c r="C340" s="539" t="s">
        <v>197</v>
      </c>
      <c r="D340" s="539">
        <v>6.12</v>
      </c>
      <c r="E340" s="567">
        <v>36968.17</v>
      </c>
      <c r="F340" s="568">
        <f t="shared" si="107"/>
        <v>36968</v>
      </c>
      <c r="G340" s="568">
        <f t="shared" si="108"/>
        <v>39230</v>
      </c>
      <c r="H340" s="568">
        <f t="shared" si="109"/>
        <v>40407</v>
      </c>
      <c r="I340" s="568">
        <f t="shared" si="110"/>
        <v>3367</v>
      </c>
      <c r="J340" s="106" t="s">
        <v>261</v>
      </c>
    </row>
    <row r="341" spans="1:172" hidden="1" x14ac:dyDescent="0.3">
      <c r="A341" s="455" t="s">
        <v>641</v>
      </c>
      <c r="B341" s="455" t="s">
        <v>1064</v>
      </c>
      <c r="C341" s="539" t="s">
        <v>197</v>
      </c>
      <c r="D341" s="539">
        <v>6.12</v>
      </c>
      <c r="E341" s="567">
        <v>145000</v>
      </c>
      <c r="F341" s="568">
        <f t="shared" si="107"/>
        <v>145000</v>
      </c>
      <c r="G341" s="568">
        <f t="shared" si="108"/>
        <v>153874</v>
      </c>
      <c r="H341" s="568">
        <f t="shared" si="109"/>
        <v>158490</v>
      </c>
      <c r="I341" s="568">
        <f t="shared" si="110"/>
        <v>13208</v>
      </c>
      <c r="J341" s="106" t="s">
        <v>211</v>
      </c>
    </row>
    <row r="342" spans="1:172" s="453" customFormat="1" hidden="1" x14ac:dyDescent="0.3">
      <c r="A342" s="455" t="s">
        <v>642</v>
      </c>
      <c r="B342" s="455" t="s">
        <v>124</v>
      </c>
      <c r="C342" s="539">
        <v>9</v>
      </c>
      <c r="D342" s="539">
        <v>0</v>
      </c>
      <c r="E342" s="567">
        <v>135000</v>
      </c>
      <c r="F342" s="568">
        <f t="shared" si="107"/>
        <v>180000</v>
      </c>
      <c r="G342" s="568">
        <f t="shared" si="108"/>
        <v>180000</v>
      </c>
      <c r="H342" s="568">
        <f t="shared" ref="H342" si="111">ROUND(G342*(1+(COLA/100)),0)</f>
        <v>185400</v>
      </c>
      <c r="I342" s="568">
        <f t="shared" si="110"/>
        <v>15450</v>
      </c>
      <c r="J342" s="106" t="s">
        <v>225</v>
      </c>
      <c r="K342"/>
      <c r="L342" s="445"/>
      <c r="M342" s="445"/>
      <c r="N342" s="445"/>
      <c r="O342" s="445"/>
      <c r="P342" s="445"/>
      <c r="Q342" s="445"/>
      <c r="R342" s="445"/>
      <c r="S342" s="445"/>
      <c r="T342" s="445"/>
      <c r="U342" s="445"/>
      <c r="V342" s="445"/>
      <c r="W342" s="445"/>
      <c r="X342" s="445"/>
      <c r="Y342" s="445"/>
      <c r="Z342" s="445"/>
      <c r="AA342" s="445"/>
      <c r="AB342" s="445"/>
      <c r="AC342" s="445"/>
      <c r="AD342" s="445"/>
      <c r="AE342" s="445"/>
      <c r="AF342" s="445"/>
      <c r="AG342" s="445"/>
      <c r="AH342" s="445"/>
      <c r="AI342" s="445"/>
      <c r="AJ342" s="445"/>
      <c r="AK342" s="445"/>
      <c r="AL342" s="445"/>
      <c r="AM342" s="445"/>
      <c r="AN342" s="445"/>
      <c r="AO342" s="445"/>
      <c r="AP342" s="445"/>
      <c r="AQ342" s="445"/>
      <c r="AR342" s="445"/>
      <c r="AS342" s="445"/>
      <c r="AT342" s="445"/>
      <c r="AU342" s="445"/>
      <c r="AV342" s="445"/>
      <c r="AW342" s="445"/>
      <c r="AX342" s="445"/>
      <c r="AY342" s="445"/>
      <c r="AZ342" s="445"/>
      <c r="BA342" s="445"/>
      <c r="BB342" s="445"/>
      <c r="BC342" s="445"/>
      <c r="BD342" s="445"/>
      <c r="BE342" s="445"/>
      <c r="BF342" s="445"/>
      <c r="BG342" s="445"/>
      <c r="BH342" s="445"/>
      <c r="BI342" s="445"/>
      <c r="BJ342" s="445"/>
      <c r="BK342" s="445"/>
      <c r="BL342" s="445"/>
      <c r="BM342" s="445"/>
      <c r="BN342" s="445"/>
      <c r="BO342" s="445"/>
      <c r="BP342" s="445"/>
      <c r="BQ342" s="445"/>
      <c r="BR342" s="445"/>
      <c r="BS342" s="445"/>
      <c r="BT342" s="445"/>
      <c r="BU342" s="445"/>
      <c r="BV342" s="445"/>
      <c r="BW342" s="445"/>
      <c r="BX342" s="445"/>
      <c r="BY342" s="445"/>
      <c r="BZ342" s="445"/>
      <c r="CA342" s="445"/>
      <c r="CB342" s="445"/>
      <c r="CC342" s="445"/>
      <c r="CD342" s="445"/>
      <c r="CE342" s="445"/>
      <c r="CF342" s="445"/>
      <c r="CG342" s="445"/>
      <c r="CH342" s="445"/>
      <c r="CI342" s="445"/>
      <c r="CJ342" s="445"/>
      <c r="CK342" s="445"/>
      <c r="CL342" s="445"/>
      <c r="CM342" s="445"/>
      <c r="CN342" s="445"/>
      <c r="CO342" s="445"/>
      <c r="CP342" s="445"/>
      <c r="CQ342" s="445"/>
      <c r="CR342" s="445"/>
      <c r="CS342" s="445"/>
      <c r="CT342" s="445"/>
      <c r="CU342" s="445"/>
      <c r="CV342" s="445"/>
      <c r="CW342" s="445"/>
      <c r="CX342" s="445"/>
      <c r="CY342" s="445"/>
      <c r="CZ342" s="445"/>
      <c r="DA342" s="445"/>
      <c r="DB342" s="445"/>
      <c r="DC342" s="445"/>
      <c r="DD342" s="445"/>
      <c r="DE342" s="445"/>
      <c r="DF342" s="445"/>
      <c r="DG342" s="445"/>
      <c r="DH342" s="445"/>
      <c r="DI342" s="445"/>
      <c r="DJ342" s="445"/>
      <c r="DK342" s="445"/>
      <c r="DL342" s="445"/>
      <c r="DM342" s="445"/>
      <c r="DN342" s="445"/>
      <c r="DO342" s="445"/>
      <c r="DP342" s="445"/>
      <c r="DQ342" s="445"/>
      <c r="DR342" s="445"/>
      <c r="DS342" s="445"/>
      <c r="DT342" s="445"/>
      <c r="DU342" s="445"/>
      <c r="DV342" s="445"/>
      <c r="DW342" s="445"/>
      <c r="DX342" s="445"/>
      <c r="DY342" s="445"/>
      <c r="DZ342" s="445"/>
      <c r="EA342" s="445"/>
      <c r="EB342" s="445"/>
      <c r="EC342" s="445"/>
      <c r="ED342" s="445"/>
      <c r="EE342" s="445"/>
      <c r="EF342" s="445"/>
      <c r="EG342" s="445"/>
      <c r="EH342" s="445"/>
      <c r="EI342" s="445"/>
      <c r="EJ342" s="445"/>
      <c r="EK342" s="445"/>
      <c r="EL342" s="445"/>
      <c r="EM342" s="445"/>
      <c r="EN342" s="445"/>
      <c r="EO342" s="445"/>
      <c r="EP342" s="445"/>
      <c r="EQ342" s="445"/>
      <c r="ER342" s="445"/>
      <c r="ES342" s="445"/>
      <c r="ET342" s="445"/>
      <c r="EU342" s="445"/>
      <c r="EV342" s="445"/>
      <c r="EW342" s="445"/>
      <c r="EX342" s="445"/>
      <c r="EY342" s="445"/>
      <c r="EZ342" s="445"/>
      <c r="FA342" s="445"/>
      <c r="FB342" s="445"/>
      <c r="FC342" s="445"/>
      <c r="FD342" s="445"/>
      <c r="FE342" s="445"/>
      <c r="FF342" s="445"/>
      <c r="FG342" s="445"/>
      <c r="FH342" s="445"/>
      <c r="FI342" s="445"/>
      <c r="FJ342" s="445"/>
      <c r="FK342" s="445"/>
      <c r="FL342" s="445"/>
      <c r="FM342" s="445"/>
      <c r="FN342" s="445"/>
      <c r="FO342" s="445"/>
      <c r="FP342" s="445"/>
    </row>
    <row r="343" spans="1:172" s="453" customFormat="1" hidden="1" x14ac:dyDescent="0.3">
      <c r="A343" s="455" t="s">
        <v>643</v>
      </c>
      <c r="B343" s="455" t="s">
        <v>126</v>
      </c>
      <c r="C343" s="539" t="s">
        <v>197</v>
      </c>
      <c r="D343" s="539">
        <v>6.12</v>
      </c>
      <c r="E343" s="567">
        <v>39273.24</v>
      </c>
      <c r="F343" s="568">
        <f t="shared" si="107"/>
        <v>39273</v>
      </c>
      <c r="G343" s="568">
        <f t="shared" si="108"/>
        <v>41677</v>
      </c>
      <c r="H343" s="568">
        <f t="shared" si="109"/>
        <v>42927</v>
      </c>
      <c r="I343" s="568">
        <f t="shared" si="110"/>
        <v>3577</v>
      </c>
      <c r="J343" s="106" t="s">
        <v>233</v>
      </c>
      <c r="K343"/>
      <c r="L343" s="445"/>
      <c r="M343" s="445"/>
      <c r="N343" s="445"/>
      <c r="O343" s="445"/>
      <c r="P343" s="445"/>
      <c r="Q343" s="445"/>
      <c r="R343" s="445"/>
      <c r="S343" s="445"/>
      <c r="T343" s="445"/>
      <c r="U343" s="445"/>
      <c r="V343" s="445"/>
      <c r="W343" s="445"/>
      <c r="X343" s="445"/>
      <c r="Y343" s="445"/>
      <c r="Z343" s="445"/>
      <c r="AA343" s="445"/>
      <c r="AB343" s="445"/>
      <c r="AC343" s="445"/>
      <c r="AD343" s="445"/>
      <c r="AE343" s="445"/>
      <c r="AF343" s="445"/>
      <c r="AG343" s="445"/>
      <c r="AH343" s="445"/>
      <c r="AI343" s="445"/>
      <c r="AJ343" s="445"/>
      <c r="AK343" s="445"/>
      <c r="AL343" s="445"/>
      <c r="AM343" s="445"/>
      <c r="AN343" s="445"/>
      <c r="AO343" s="445"/>
      <c r="AP343" s="445"/>
      <c r="AQ343" s="445"/>
      <c r="AR343" s="445"/>
      <c r="AS343" s="445"/>
      <c r="AT343" s="445"/>
      <c r="AU343" s="445"/>
      <c r="AV343" s="445"/>
      <c r="AW343" s="445"/>
      <c r="AX343" s="445"/>
      <c r="AY343" s="445"/>
      <c r="AZ343" s="445"/>
      <c r="BA343" s="445"/>
      <c r="BB343" s="445"/>
      <c r="BC343" s="445"/>
      <c r="BD343" s="445"/>
      <c r="BE343" s="445"/>
      <c r="BF343" s="445"/>
      <c r="BG343" s="445"/>
      <c r="BH343" s="445"/>
      <c r="BI343" s="445"/>
      <c r="BJ343" s="445"/>
      <c r="BK343" s="445"/>
      <c r="BL343" s="445"/>
      <c r="BM343" s="445"/>
      <c r="BN343" s="445"/>
      <c r="BO343" s="445"/>
      <c r="BP343" s="445"/>
      <c r="BQ343" s="445"/>
      <c r="BR343" s="445"/>
      <c r="BS343" s="445"/>
      <c r="BT343" s="445"/>
      <c r="BU343" s="445"/>
      <c r="BV343" s="445"/>
      <c r="BW343" s="445"/>
      <c r="BX343" s="445"/>
      <c r="BY343" s="445"/>
      <c r="BZ343" s="445"/>
      <c r="CA343" s="445"/>
      <c r="CB343" s="445"/>
      <c r="CC343" s="445"/>
      <c r="CD343" s="445"/>
      <c r="CE343" s="445"/>
      <c r="CF343" s="445"/>
      <c r="CG343" s="445"/>
      <c r="CH343" s="445"/>
      <c r="CI343" s="445"/>
      <c r="CJ343" s="445"/>
      <c r="CK343" s="445"/>
      <c r="CL343" s="445"/>
      <c r="CM343" s="445"/>
      <c r="CN343" s="445"/>
      <c r="CO343" s="445"/>
      <c r="CP343" s="445"/>
      <c r="CQ343" s="445"/>
      <c r="CR343" s="445"/>
      <c r="CS343" s="445"/>
      <c r="CT343" s="445"/>
      <c r="CU343" s="445"/>
      <c r="CV343" s="445"/>
      <c r="CW343" s="445"/>
      <c r="CX343" s="445"/>
      <c r="CY343" s="445"/>
      <c r="CZ343" s="445"/>
      <c r="DA343" s="445"/>
      <c r="DB343" s="445"/>
      <c r="DC343" s="445"/>
      <c r="DD343" s="445"/>
      <c r="DE343" s="445"/>
      <c r="DF343" s="445"/>
      <c r="DG343" s="445"/>
      <c r="DH343" s="445"/>
      <c r="DI343" s="445"/>
      <c r="DJ343" s="445"/>
      <c r="DK343" s="445"/>
      <c r="DL343" s="445"/>
      <c r="DM343" s="445"/>
      <c r="DN343" s="445"/>
      <c r="DO343" s="445"/>
      <c r="DP343" s="445"/>
      <c r="DQ343" s="445"/>
      <c r="DR343" s="445"/>
      <c r="DS343" s="445"/>
      <c r="DT343" s="445"/>
      <c r="DU343" s="445"/>
      <c r="DV343" s="445"/>
      <c r="DW343" s="445"/>
      <c r="DX343" s="445"/>
      <c r="DY343" s="445"/>
      <c r="DZ343" s="445"/>
      <c r="EA343" s="445"/>
      <c r="EB343" s="445"/>
      <c r="EC343" s="445"/>
      <c r="ED343" s="445"/>
      <c r="EE343" s="445"/>
      <c r="EF343" s="445"/>
      <c r="EG343" s="445"/>
      <c r="EH343" s="445"/>
      <c r="EI343" s="445"/>
      <c r="EJ343" s="445"/>
      <c r="EK343" s="445"/>
      <c r="EL343" s="445"/>
      <c r="EM343" s="445"/>
      <c r="EN343" s="445"/>
      <c r="EO343" s="445"/>
      <c r="EP343" s="445"/>
      <c r="EQ343" s="445"/>
      <c r="ER343" s="445"/>
      <c r="ES343" s="445"/>
      <c r="ET343" s="445"/>
      <c r="EU343" s="445"/>
      <c r="EV343" s="445"/>
      <c r="EW343" s="445"/>
      <c r="EX343" s="445"/>
      <c r="EY343" s="445"/>
      <c r="EZ343" s="445"/>
      <c r="FA343" s="445"/>
      <c r="FB343" s="445"/>
      <c r="FC343" s="445"/>
      <c r="FD343" s="445"/>
      <c r="FE343" s="445"/>
      <c r="FF343" s="445"/>
      <c r="FG343" s="445"/>
      <c r="FH343" s="445"/>
      <c r="FI343" s="445"/>
      <c r="FJ343" s="445"/>
      <c r="FK343" s="445"/>
      <c r="FL343" s="445"/>
      <c r="FM343" s="445"/>
      <c r="FN343" s="445"/>
      <c r="FO343" s="445"/>
      <c r="FP343" s="445"/>
    </row>
    <row r="344" spans="1:172" s="453" customFormat="1" hidden="1" x14ac:dyDescent="0.3">
      <c r="A344" s="455" t="s">
        <v>644</v>
      </c>
      <c r="B344" s="455" t="s">
        <v>110</v>
      </c>
      <c r="C344" s="539" t="s">
        <v>197</v>
      </c>
      <c r="D344" s="539">
        <v>6.12</v>
      </c>
      <c r="E344" s="567">
        <v>30596.6</v>
      </c>
      <c r="F344" s="568">
        <f t="shared" si="107"/>
        <v>30597</v>
      </c>
      <c r="G344" s="568">
        <f t="shared" si="108"/>
        <v>32470</v>
      </c>
      <c r="H344" s="568">
        <f t="shared" si="109"/>
        <v>33444</v>
      </c>
      <c r="I344" s="568">
        <f t="shared" si="110"/>
        <v>2787</v>
      </c>
      <c r="J344" s="106" t="s">
        <v>635</v>
      </c>
      <c r="K344"/>
      <c r="L344" s="445"/>
      <c r="M344" s="445"/>
      <c r="N344" s="445"/>
      <c r="O344" s="445"/>
      <c r="P344" s="445"/>
      <c r="Q344" s="445"/>
      <c r="R344" s="445"/>
      <c r="S344" s="445"/>
      <c r="T344" s="445"/>
      <c r="U344" s="445"/>
      <c r="V344" s="445"/>
      <c r="W344" s="445"/>
      <c r="X344" s="445"/>
      <c r="Y344" s="445"/>
      <c r="Z344" s="445"/>
      <c r="AA344" s="445"/>
      <c r="AB344" s="445"/>
      <c r="AC344" s="445"/>
      <c r="AD344" s="445"/>
      <c r="AE344" s="445"/>
      <c r="AF344" s="445"/>
      <c r="AG344" s="445"/>
      <c r="AH344" s="445"/>
      <c r="AI344" s="445"/>
      <c r="AJ344" s="445"/>
      <c r="AK344" s="445"/>
      <c r="AL344" s="445"/>
      <c r="AM344" s="445"/>
      <c r="AN344" s="445"/>
      <c r="AO344" s="445"/>
      <c r="AP344" s="445"/>
      <c r="AQ344" s="445"/>
      <c r="AR344" s="445"/>
      <c r="AS344" s="445"/>
      <c r="AT344" s="445"/>
      <c r="AU344" s="445"/>
      <c r="AV344" s="445"/>
      <c r="AW344" s="445"/>
      <c r="AX344" s="445"/>
      <c r="AY344" s="445"/>
      <c r="AZ344" s="445"/>
      <c r="BA344" s="445"/>
      <c r="BB344" s="445"/>
      <c r="BC344" s="445"/>
      <c r="BD344" s="445"/>
      <c r="BE344" s="445"/>
      <c r="BF344" s="445"/>
      <c r="BG344" s="445"/>
      <c r="BH344" s="445"/>
      <c r="BI344" s="445"/>
      <c r="BJ344" s="445"/>
      <c r="BK344" s="445"/>
      <c r="BL344" s="445"/>
      <c r="BM344" s="445"/>
      <c r="BN344" s="445"/>
      <c r="BO344" s="445"/>
      <c r="BP344" s="445"/>
      <c r="BQ344" s="445"/>
      <c r="BR344" s="445"/>
      <c r="BS344" s="445"/>
      <c r="BT344" s="445"/>
      <c r="BU344" s="445"/>
      <c r="BV344" s="445"/>
      <c r="BW344" s="445"/>
      <c r="BX344" s="445"/>
      <c r="BY344" s="445"/>
      <c r="BZ344" s="445"/>
      <c r="CA344" s="445"/>
      <c r="CB344" s="445"/>
      <c r="CC344" s="445"/>
      <c r="CD344" s="445"/>
      <c r="CE344" s="445"/>
      <c r="CF344" s="445"/>
      <c r="CG344" s="445"/>
      <c r="CH344" s="445"/>
      <c r="CI344" s="445"/>
      <c r="CJ344" s="445"/>
      <c r="CK344" s="445"/>
      <c r="CL344" s="445"/>
      <c r="CM344" s="445"/>
      <c r="CN344" s="445"/>
      <c r="CO344" s="445"/>
      <c r="CP344" s="445"/>
      <c r="CQ344" s="445"/>
      <c r="CR344" s="445"/>
      <c r="CS344" s="445"/>
      <c r="CT344" s="445"/>
      <c r="CU344" s="445"/>
      <c r="CV344" s="445"/>
      <c r="CW344" s="445"/>
      <c r="CX344" s="445"/>
      <c r="CY344" s="445"/>
      <c r="CZ344" s="445"/>
      <c r="DA344" s="445"/>
      <c r="DB344" s="445"/>
      <c r="DC344" s="445"/>
      <c r="DD344" s="445"/>
      <c r="DE344" s="445"/>
      <c r="DF344" s="445"/>
      <c r="DG344" s="445"/>
      <c r="DH344" s="445"/>
      <c r="DI344" s="445"/>
      <c r="DJ344" s="445"/>
      <c r="DK344" s="445"/>
      <c r="DL344" s="445"/>
      <c r="DM344" s="445"/>
      <c r="DN344" s="445"/>
      <c r="DO344" s="445"/>
      <c r="DP344" s="445"/>
      <c r="DQ344" s="445"/>
      <c r="DR344" s="445"/>
      <c r="DS344" s="445"/>
      <c r="DT344" s="445"/>
      <c r="DU344" s="445"/>
      <c r="DV344" s="445"/>
      <c r="DW344" s="445"/>
      <c r="DX344" s="445"/>
      <c r="DY344" s="445"/>
      <c r="DZ344" s="445"/>
      <c r="EA344" s="445"/>
      <c r="EB344" s="445"/>
      <c r="EC344" s="445"/>
      <c r="ED344" s="445"/>
      <c r="EE344" s="445"/>
      <c r="EF344" s="445"/>
      <c r="EG344" s="445"/>
      <c r="EH344" s="445"/>
      <c r="EI344" s="445"/>
      <c r="EJ344" s="445"/>
      <c r="EK344" s="445"/>
      <c r="EL344" s="445"/>
      <c r="EM344" s="445"/>
      <c r="EN344" s="445"/>
      <c r="EO344" s="445"/>
      <c r="EP344" s="445"/>
      <c r="EQ344" s="445"/>
      <c r="ER344" s="445"/>
      <c r="ES344" s="445"/>
      <c r="ET344" s="445"/>
      <c r="EU344" s="445"/>
      <c r="EV344" s="445"/>
      <c r="EW344" s="445"/>
      <c r="EX344" s="445"/>
      <c r="EY344" s="445"/>
      <c r="EZ344" s="445"/>
      <c r="FA344" s="445"/>
      <c r="FB344" s="445"/>
      <c r="FC344" s="445"/>
      <c r="FD344" s="445"/>
      <c r="FE344" s="445"/>
      <c r="FF344" s="445"/>
      <c r="FG344" s="445"/>
      <c r="FH344" s="445"/>
      <c r="FI344" s="445"/>
      <c r="FJ344" s="445"/>
      <c r="FK344" s="445"/>
      <c r="FL344" s="445"/>
      <c r="FM344" s="445"/>
      <c r="FN344" s="445"/>
      <c r="FO344" s="445"/>
      <c r="FP344" s="445"/>
    </row>
    <row r="345" spans="1:172" s="453" customFormat="1" hidden="1" x14ac:dyDescent="0.3">
      <c r="A345" s="455" t="s">
        <v>645</v>
      </c>
      <c r="B345" s="455" t="s">
        <v>102</v>
      </c>
      <c r="C345" s="539" t="s">
        <v>197</v>
      </c>
      <c r="D345" s="539">
        <v>6.12</v>
      </c>
      <c r="E345" s="567">
        <v>54890</v>
      </c>
      <c r="F345" s="568">
        <f t="shared" si="107"/>
        <v>54890</v>
      </c>
      <c r="G345" s="568">
        <f t="shared" si="108"/>
        <v>58249</v>
      </c>
      <c r="H345" s="568">
        <f t="shared" si="109"/>
        <v>59996</v>
      </c>
      <c r="I345" s="568">
        <f t="shared" si="110"/>
        <v>5000</v>
      </c>
      <c r="J345" s="106" t="s">
        <v>213</v>
      </c>
      <c r="K345"/>
      <c r="L345" s="445"/>
      <c r="M345" s="445"/>
      <c r="N345" s="445"/>
      <c r="O345" s="445"/>
      <c r="P345" s="445"/>
      <c r="Q345" s="445"/>
      <c r="R345" s="445"/>
      <c r="S345" s="445"/>
      <c r="T345" s="445"/>
      <c r="U345" s="445"/>
      <c r="V345" s="445"/>
      <c r="W345" s="445"/>
      <c r="X345" s="445"/>
      <c r="Y345" s="445"/>
      <c r="Z345" s="445"/>
      <c r="AA345" s="445"/>
      <c r="AB345" s="445"/>
      <c r="AC345" s="445"/>
      <c r="AD345" s="445"/>
      <c r="AE345" s="445"/>
      <c r="AF345" s="445"/>
      <c r="AG345" s="445"/>
      <c r="AH345" s="445"/>
      <c r="AI345" s="445"/>
      <c r="AJ345" s="445"/>
      <c r="AK345" s="445"/>
      <c r="AL345" s="445"/>
      <c r="AM345" s="445"/>
      <c r="AN345" s="445"/>
      <c r="AO345" s="445"/>
      <c r="AP345" s="445"/>
      <c r="AQ345" s="445"/>
      <c r="AR345" s="445"/>
      <c r="AS345" s="445"/>
      <c r="AT345" s="445"/>
      <c r="AU345" s="445"/>
      <c r="AV345" s="445"/>
      <c r="AW345" s="445"/>
      <c r="AX345" s="445"/>
      <c r="AY345" s="445"/>
      <c r="AZ345" s="445"/>
      <c r="BA345" s="445"/>
      <c r="BB345" s="445"/>
      <c r="BC345" s="445"/>
      <c r="BD345" s="445"/>
      <c r="BE345" s="445"/>
      <c r="BF345" s="445"/>
      <c r="BG345" s="445"/>
      <c r="BH345" s="445"/>
      <c r="BI345" s="445"/>
      <c r="BJ345" s="445"/>
      <c r="BK345" s="445"/>
      <c r="BL345" s="445"/>
      <c r="BM345" s="445"/>
      <c r="BN345" s="445"/>
      <c r="BO345" s="445"/>
      <c r="BP345" s="445"/>
      <c r="BQ345" s="445"/>
      <c r="BR345" s="445"/>
      <c r="BS345" s="445"/>
      <c r="BT345" s="445"/>
      <c r="BU345" s="445"/>
      <c r="BV345" s="445"/>
      <c r="BW345" s="445"/>
      <c r="BX345" s="445"/>
      <c r="BY345" s="445"/>
      <c r="BZ345" s="445"/>
      <c r="CA345" s="445"/>
      <c r="CB345" s="445"/>
      <c r="CC345" s="445"/>
      <c r="CD345" s="445"/>
      <c r="CE345" s="445"/>
      <c r="CF345" s="445"/>
      <c r="CG345" s="445"/>
      <c r="CH345" s="445"/>
      <c r="CI345" s="445"/>
      <c r="CJ345" s="445"/>
      <c r="CK345" s="445"/>
      <c r="CL345" s="445"/>
      <c r="CM345" s="445"/>
      <c r="CN345" s="445"/>
      <c r="CO345" s="445"/>
      <c r="CP345" s="445"/>
      <c r="CQ345" s="445"/>
      <c r="CR345" s="445"/>
      <c r="CS345" s="445"/>
      <c r="CT345" s="445"/>
      <c r="CU345" s="445"/>
      <c r="CV345" s="445"/>
      <c r="CW345" s="445"/>
      <c r="CX345" s="445"/>
      <c r="CY345" s="445"/>
      <c r="CZ345" s="445"/>
      <c r="DA345" s="445"/>
      <c r="DB345" s="445"/>
      <c r="DC345" s="445"/>
      <c r="DD345" s="445"/>
      <c r="DE345" s="445"/>
      <c r="DF345" s="445"/>
      <c r="DG345" s="445"/>
      <c r="DH345" s="445"/>
      <c r="DI345" s="445"/>
      <c r="DJ345" s="445"/>
      <c r="DK345" s="445"/>
      <c r="DL345" s="445"/>
      <c r="DM345" s="445"/>
      <c r="DN345" s="445"/>
      <c r="DO345" s="445"/>
      <c r="DP345" s="445"/>
      <c r="DQ345" s="445"/>
      <c r="DR345" s="445"/>
      <c r="DS345" s="445"/>
      <c r="DT345" s="445"/>
      <c r="DU345" s="445"/>
      <c r="DV345" s="445"/>
      <c r="DW345" s="445"/>
      <c r="DX345" s="445"/>
      <c r="DY345" s="445"/>
      <c r="DZ345" s="445"/>
      <c r="EA345" s="445"/>
      <c r="EB345" s="445"/>
      <c r="EC345" s="445"/>
      <c r="ED345" s="445"/>
      <c r="EE345" s="445"/>
      <c r="EF345" s="445"/>
      <c r="EG345" s="445"/>
      <c r="EH345" s="445"/>
      <c r="EI345" s="445"/>
      <c r="EJ345" s="445"/>
      <c r="EK345" s="445"/>
      <c r="EL345" s="445"/>
      <c r="EM345" s="445"/>
      <c r="EN345" s="445"/>
      <c r="EO345" s="445"/>
      <c r="EP345" s="445"/>
      <c r="EQ345" s="445"/>
      <c r="ER345" s="445"/>
      <c r="ES345" s="445"/>
      <c r="ET345" s="445"/>
      <c r="EU345" s="445"/>
      <c r="EV345" s="445"/>
      <c r="EW345" s="445"/>
      <c r="EX345" s="445"/>
      <c r="EY345" s="445"/>
      <c r="EZ345" s="445"/>
      <c r="FA345" s="445"/>
      <c r="FB345" s="445"/>
      <c r="FC345" s="445"/>
      <c r="FD345" s="445"/>
      <c r="FE345" s="445"/>
      <c r="FF345" s="445"/>
      <c r="FG345" s="445"/>
      <c r="FH345" s="445"/>
      <c r="FI345" s="445"/>
      <c r="FJ345" s="445"/>
      <c r="FK345" s="445"/>
      <c r="FL345" s="445"/>
      <c r="FM345" s="445"/>
      <c r="FN345" s="445"/>
      <c r="FO345" s="445"/>
      <c r="FP345" s="445"/>
    </row>
    <row r="346" spans="1:172" s="453" customFormat="1" hidden="1" x14ac:dyDescent="0.3">
      <c r="A346" s="455" t="s">
        <v>646</v>
      </c>
      <c r="B346" s="455" t="s">
        <v>1059</v>
      </c>
      <c r="C346" s="539" t="s">
        <v>200</v>
      </c>
      <c r="D346" s="539" t="s">
        <v>201</v>
      </c>
      <c r="E346" s="567">
        <v>116964</v>
      </c>
      <c r="F346" s="568">
        <f t="shared" si="107"/>
        <v>155952</v>
      </c>
      <c r="G346" s="568">
        <f t="shared" si="108"/>
        <v>155952</v>
      </c>
      <c r="H346" s="568">
        <f t="shared" si="109"/>
        <v>160631</v>
      </c>
      <c r="I346" s="568">
        <f t="shared" si="110"/>
        <v>13386</v>
      </c>
      <c r="J346" s="106" t="s">
        <v>225</v>
      </c>
      <c r="K346"/>
      <c r="L346" s="445"/>
      <c r="M346" s="445"/>
      <c r="N346" s="445"/>
      <c r="O346" s="445"/>
      <c r="P346" s="445"/>
      <c r="Q346" s="445"/>
      <c r="R346" s="445"/>
      <c r="S346" s="445"/>
      <c r="T346" s="445"/>
      <c r="U346" s="445"/>
      <c r="V346" s="445"/>
      <c r="W346" s="445"/>
      <c r="X346" s="445"/>
      <c r="Y346" s="445"/>
      <c r="Z346" s="445"/>
      <c r="AA346" s="445"/>
      <c r="AB346" s="445"/>
      <c r="AC346" s="445"/>
      <c r="AD346" s="445"/>
      <c r="AE346" s="445"/>
      <c r="AF346" s="445"/>
      <c r="AG346" s="445"/>
      <c r="AH346" s="445"/>
      <c r="AI346" s="445"/>
      <c r="AJ346" s="445"/>
      <c r="AK346" s="445"/>
      <c r="AL346" s="445"/>
      <c r="AM346" s="445"/>
      <c r="AN346" s="445"/>
      <c r="AO346" s="445"/>
      <c r="AP346" s="445"/>
      <c r="AQ346" s="445"/>
      <c r="AR346" s="445"/>
      <c r="AS346" s="445"/>
      <c r="AT346" s="445"/>
      <c r="AU346" s="445"/>
      <c r="AV346" s="445"/>
      <c r="AW346" s="445"/>
      <c r="AX346" s="445"/>
      <c r="AY346" s="445"/>
      <c r="AZ346" s="445"/>
      <c r="BA346" s="445"/>
      <c r="BB346" s="445"/>
      <c r="BC346" s="445"/>
      <c r="BD346" s="445"/>
      <c r="BE346" s="445"/>
      <c r="BF346" s="445"/>
      <c r="BG346" s="445"/>
      <c r="BH346" s="445"/>
      <c r="BI346" s="445"/>
      <c r="BJ346" s="445"/>
      <c r="BK346" s="445"/>
      <c r="BL346" s="445"/>
      <c r="BM346" s="445"/>
      <c r="BN346" s="445"/>
      <c r="BO346" s="445"/>
      <c r="BP346" s="445"/>
      <c r="BQ346" s="445"/>
      <c r="BR346" s="445"/>
      <c r="BS346" s="445"/>
      <c r="BT346" s="445"/>
      <c r="BU346" s="445"/>
      <c r="BV346" s="445"/>
      <c r="BW346" s="445"/>
      <c r="BX346" s="445"/>
      <c r="BY346" s="445"/>
      <c r="BZ346" s="445"/>
      <c r="CA346" s="445"/>
      <c r="CB346" s="445"/>
      <c r="CC346" s="445"/>
      <c r="CD346" s="445"/>
      <c r="CE346" s="445"/>
      <c r="CF346" s="445"/>
      <c r="CG346" s="445"/>
      <c r="CH346" s="445"/>
      <c r="CI346" s="445"/>
      <c r="CJ346" s="445"/>
      <c r="CK346" s="445"/>
      <c r="CL346" s="445"/>
      <c r="CM346" s="445"/>
      <c r="CN346" s="445"/>
      <c r="CO346" s="445"/>
      <c r="CP346" s="445"/>
      <c r="CQ346" s="445"/>
      <c r="CR346" s="445"/>
      <c r="CS346" s="445"/>
      <c r="CT346" s="445"/>
      <c r="CU346" s="445"/>
      <c r="CV346" s="445"/>
      <c r="CW346" s="445"/>
      <c r="CX346" s="445"/>
      <c r="CY346" s="445"/>
      <c r="CZ346" s="445"/>
      <c r="DA346" s="445"/>
      <c r="DB346" s="445"/>
      <c r="DC346" s="445"/>
      <c r="DD346" s="445"/>
      <c r="DE346" s="445"/>
      <c r="DF346" s="445"/>
      <c r="DG346" s="445"/>
      <c r="DH346" s="445"/>
      <c r="DI346" s="445"/>
      <c r="DJ346" s="445"/>
      <c r="DK346" s="445"/>
      <c r="DL346" s="445"/>
      <c r="DM346" s="445"/>
      <c r="DN346" s="445"/>
      <c r="DO346" s="445"/>
      <c r="DP346" s="445"/>
      <c r="DQ346" s="445"/>
      <c r="DR346" s="445"/>
      <c r="DS346" s="445"/>
      <c r="DT346" s="445"/>
      <c r="DU346" s="445"/>
      <c r="DV346" s="445"/>
      <c r="DW346" s="445"/>
      <c r="DX346" s="445"/>
      <c r="DY346" s="445"/>
      <c r="DZ346" s="445"/>
      <c r="EA346" s="445"/>
      <c r="EB346" s="445"/>
      <c r="EC346" s="445"/>
      <c r="ED346" s="445"/>
      <c r="EE346" s="445"/>
      <c r="EF346" s="445"/>
      <c r="EG346" s="445"/>
      <c r="EH346" s="445"/>
      <c r="EI346" s="445"/>
      <c r="EJ346" s="445"/>
      <c r="EK346" s="445"/>
      <c r="EL346" s="445"/>
      <c r="EM346" s="445"/>
      <c r="EN346" s="445"/>
      <c r="EO346" s="445"/>
      <c r="EP346" s="445"/>
      <c r="EQ346" s="445"/>
      <c r="ER346" s="445"/>
      <c r="ES346" s="445"/>
      <c r="ET346" s="445"/>
      <c r="EU346" s="445"/>
      <c r="EV346" s="445"/>
      <c r="EW346" s="445"/>
      <c r="EX346" s="445"/>
      <c r="EY346" s="445"/>
      <c r="EZ346" s="445"/>
      <c r="FA346" s="445"/>
      <c r="FB346" s="445"/>
      <c r="FC346" s="445"/>
      <c r="FD346" s="445"/>
      <c r="FE346" s="445"/>
      <c r="FF346" s="445"/>
      <c r="FG346" s="445"/>
      <c r="FH346" s="445"/>
      <c r="FI346" s="445"/>
      <c r="FJ346" s="445"/>
      <c r="FK346" s="445"/>
      <c r="FL346" s="445"/>
      <c r="FM346" s="445"/>
      <c r="FN346" s="445"/>
      <c r="FO346" s="445"/>
      <c r="FP346" s="445"/>
    </row>
    <row r="347" spans="1:172" s="453" customFormat="1" hidden="1" x14ac:dyDescent="0.3">
      <c r="A347" s="455"/>
      <c r="B347" s="455"/>
      <c r="C347" s="539"/>
      <c r="D347" s="539"/>
      <c r="E347" s="567"/>
      <c r="F347" s="568"/>
      <c r="G347" s="568"/>
      <c r="H347" s="568"/>
      <c r="I347" s="568"/>
      <c r="J347" s="106"/>
      <c r="K347"/>
      <c r="L347" s="445"/>
      <c r="M347" s="445"/>
      <c r="N347" s="445"/>
      <c r="O347" s="445"/>
      <c r="P347" s="445"/>
      <c r="Q347" s="445"/>
      <c r="R347" s="445"/>
      <c r="S347" s="445"/>
      <c r="T347" s="445"/>
      <c r="U347" s="445"/>
      <c r="V347" s="445"/>
      <c r="W347" s="445"/>
      <c r="X347" s="445"/>
      <c r="Y347" s="445"/>
      <c r="Z347" s="445"/>
      <c r="AA347" s="445"/>
      <c r="AB347" s="445"/>
      <c r="AC347" s="445"/>
      <c r="AD347" s="445"/>
      <c r="AE347" s="445"/>
      <c r="AF347" s="445"/>
      <c r="AG347" s="445"/>
      <c r="AH347" s="445"/>
      <c r="AI347" s="445"/>
      <c r="AJ347" s="445"/>
      <c r="AK347" s="445"/>
      <c r="AL347" s="445"/>
      <c r="AM347" s="445"/>
      <c r="AN347" s="445"/>
      <c r="AO347" s="445"/>
      <c r="AP347" s="445"/>
      <c r="AQ347" s="445"/>
      <c r="AR347" s="445"/>
      <c r="AS347" s="445"/>
      <c r="AT347" s="445"/>
      <c r="AU347" s="445"/>
      <c r="AV347" s="445"/>
      <c r="AW347" s="445"/>
      <c r="AX347" s="445"/>
      <c r="AY347" s="445"/>
      <c r="AZ347" s="445"/>
      <c r="BA347" s="445"/>
      <c r="BB347" s="445"/>
      <c r="BC347" s="445"/>
      <c r="BD347" s="445"/>
      <c r="BE347" s="445"/>
      <c r="BF347" s="445"/>
      <c r="BG347" s="445"/>
      <c r="BH347" s="445"/>
      <c r="BI347" s="445"/>
      <c r="BJ347" s="445"/>
      <c r="BK347" s="445"/>
      <c r="BL347" s="445"/>
      <c r="BM347" s="445"/>
      <c r="BN347" s="445"/>
      <c r="BO347" s="445"/>
      <c r="BP347" s="445"/>
      <c r="BQ347" s="445"/>
      <c r="BR347" s="445"/>
      <c r="BS347" s="445"/>
      <c r="BT347" s="445"/>
      <c r="BU347" s="445"/>
      <c r="BV347" s="445"/>
      <c r="BW347" s="445"/>
      <c r="BX347" s="445"/>
      <c r="BY347" s="445"/>
      <c r="BZ347" s="445"/>
      <c r="CA347" s="445"/>
      <c r="CB347" s="445"/>
      <c r="CC347" s="445"/>
      <c r="CD347" s="445"/>
      <c r="CE347" s="445"/>
      <c r="CF347" s="445"/>
      <c r="CG347" s="445"/>
      <c r="CH347" s="445"/>
      <c r="CI347" s="445"/>
      <c r="CJ347" s="445"/>
      <c r="CK347" s="445"/>
      <c r="CL347" s="445"/>
      <c r="CM347" s="445"/>
      <c r="CN347" s="445"/>
      <c r="CO347" s="445"/>
      <c r="CP347" s="445"/>
      <c r="CQ347" s="445"/>
      <c r="CR347" s="445"/>
      <c r="CS347" s="445"/>
      <c r="CT347" s="445"/>
      <c r="CU347" s="445"/>
      <c r="CV347" s="445"/>
      <c r="CW347" s="445"/>
      <c r="CX347" s="445"/>
      <c r="CY347" s="445"/>
      <c r="CZ347" s="445"/>
      <c r="DA347" s="445"/>
      <c r="DB347" s="445"/>
      <c r="DC347" s="445"/>
      <c r="DD347" s="445"/>
      <c r="DE347" s="445"/>
      <c r="DF347" s="445"/>
      <c r="DG347" s="445"/>
      <c r="DH347" s="445"/>
      <c r="DI347" s="445"/>
      <c r="DJ347" s="445"/>
      <c r="DK347" s="445"/>
      <c r="DL347" s="445"/>
      <c r="DM347" s="445"/>
      <c r="DN347" s="445"/>
      <c r="DO347" s="445"/>
      <c r="DP347" s="445"/>
      <c r="DQ347" s="445"/>
      <c r="DR347" s="445"/>
      <c r="DS347" s="445"/>
      <c r="DT347" s="445"/>
      <c r="DU347" s="445"/>
      <c r="DV347" s="445"/>
      <c r="DW347" s="445"/>
      <c r="DX347" s="445"/>
      <c r="DY347" s="445"/>
      <c r="DZ347" s="445"/>
      <c r="EA347" s="445"/>
      <c r="EB347" s="445"/>
      <c r="EC347" s="445"/>
      <c r="ED347" s="445"/>
      <c r="EE347" s="445"/>
      <c r="EF347" s="445"/>
      <c r="EG347" s="445"/>
      <c r="EH347" s="445"/>
      <c r="EI347" s="445"/>
      <c r="EJ347" s="445"/>
      <c r="EK347" s="445"/>
      <c r="EL347" s="445"/>
      <c r="EM347" s="445"/>
      <c r="EN347" s="445"/>
      <c r="EO347" s="445"/>
      <c r="EP347" s="445"/>
      <c r="EQ347" s="445"/>
      <c r="ER347" s="445"/>
      <c r="ES347" s="445"/>
      <c r="ET347" s="445"/>
      <c r="EU347" s="445"/>
      <c r="EV347" s="445"/>
      <c r="EW347" s="445"/>
      <c r="EX347" s="445"/>
      <c r="EY347" s="445"/>
      <c r="EZ347" s="445"/>
      <c r="FA347" s="445"/>
      <c r="FB347" s="445"/>
      <c r="FC347" s="445"/>
      <c r="FD347" s="445"/>
      <c r="FE347" s="445"/>
      <c r="FF347" s="445"/>
      <c r="FG347" s="445"/>
      <c r="FH347" s="445"/>
      <c r="FI347" s="445"/>
      <c r="FJ347" s="445"/>
      <c r="FK347" s="445"/>
      <c r="FL347" s="445"/>
      <c r="FM347" s="445"/>
      <c r="FN347" s="445"/>
      <c r="FO347" s="445"/>
      <c r="FP347" s="445"/>
    </row>
    <row r="348" spans="1:172" s="453" customFormat="1" hidden="1" x14ac:dyDescent="0.3">
      <c r="A348" s="455"/>
      <c r="B348" s="455"/>
      <c r="C348" s="539"/>
      <c r="D348" s="539"/>
      <c r="E348" s="567"/>
      <c r="F348" s="568"/>
      <c r="G348" s="568"/>
      <c r="H348" s="568"/>
      <c r="I348" s="568"/>
      <c r="J348" s="106"/>
      <c r="K348"/>
      <c r="L348" s="445"/>
      <c r="M348" s="445"/>
      <c r="N348" s="445"/>
      <c r="O348" s="445"/>
      <c r="P348" s="445"/>
      <c r="Q348" s="445"/>
      <c r="R348" s="445"/>
      <c r="S348" s="445"/>
      <c r="T348" s="445"/>
      <c r="U348" s="445"/>
      <c r="V348" s="445"/>
      <c r="W348" s="445"/>
      <c r="X348" s="445"/>
      <c r="Y348" s="445"/>
      <c r="Z348" s="445"/>
      <c r="AA348" s="445"/>
      <c r="AB348" s="445"/>
      <c r="AC348" s="445"/>
      <c r="AD348" s="445"/>
      <c r="AE348" s="445"/>
      <c r="AF348" s="445"/>
      <c r="AG348" s="445"/>
      <c r="AH348" s="445"/>
      <c r="AI348" s="445"/>
      <c r="AJ348" s="445"/>
      <c r="AK348" s="445"/>
      <c r="AL348" s="445"/>
      <c r="AM348" s="445"/>
      <c r="AN348" s="445"/>
      <c r="AO348" s="445"/>
      <c r="AP348" s="445"/>
      <c r="AQ348" s="445"/>
      <c r="AR348" s="445"/>
      <c r="AS348" s="445"/>
      <c r="AT348" s="445"/>
      <c r="AU348" s="445"/>
      <c r="AV348" s="445"/>
      <c r="AW348" s="445"/>
      <c r="AX348" s="445"/>
      <c r="AY348" s="445"/>
      <c r="AZ348" s="445"/>
      <c r="BA348" s="445"/>
      <c r="BB348" s="445"/>
      <c r="BC348" s="445"/>
      <c r="BD348" s="445"/>
      <c r="BE348" s="445"/>
      <c r="BF348" s="445"/>
      <c r="BG348" s="445"/>
      <c r="BH348" s="445"/>
      <c r="BI348" s="445"/>
      <c r="BJ348" s="445"/>
      <c r="BK348" s="445"/>
      <c r="BL348" s="445"/>
      <c r="BM348" s="445"/>
      <c r="BN348" s="445"/>
      <c r="BO348" s="445"/>
      <c r="BP348" s="445"/>
      <c r="BQ348" s="445"/>
      <c r="BR348" s="445"/>
      <c r="BS348" s="445"/>
      <c r="BT348" s="445"/>
      <c r="BU348" s="445"/>
      <c r="BV348" s="445"/>
      <c r="BW348" s="445"/>
      <c r="BX348" s="445"/>
      <c r="BY348" s="445"/>
      <c r="BZ348" s="445"/>
      <c r="CA348" s="445"/>
      <c r="CB348" s="445"/>
      <c r="CC348" s="445"/>
      <c r="CD348" s="445"/>
      <c r="CE348" s="445"/>
      <c r="CF348" s="445"/>
      <c r="CG348" s="445"/>
      <c r="CH348" s="445"/>
      <c r="CI348" s="445"/>
      <c r="CJ348" s="445"/>
      <c r="CK348" s="445"/>
      <c r="CL348" s="445"/>
      <c r="CM348" s="445"/>
      <c r="CN348" s="445"/>
      <c r="CO348" s="445"/>
      <c r="CP348" s="445"/>
      <c r="CQ348" s="445"/>
      <c r="CR348" s="445"/>
      <c r="CS348" s="445"/>
      <c r="CT348" s="445"/>
      <c r="CU348" s="445"/>
      <c r="CV348" s="445"/>
      <c r="CW348" s="445"/>
      <c r="CX348" s="445"/>
      <c r="CY348" s="445"/>
      <c r="CZ348" s="445"/>
      <c r="DA348" s="445"/>
      <c r="DB348" s="445"/>
      <c r="DC348" s="445"/>
      <c r="DD348" s="445"/>
      <c r="DE348" s="445"/>
      <c r="DF348" s="445"/>
      <c r="DG348" s="445"/>
      <c r="DH348" s="445"/>
      <c r="DI348" s="445"/>
      <c r="DJ348" s="445"/>
      <c r="DK348" s="445"/>
      <c r="DL348" s="445"/>
      <c r="DM348" s="445"/>
      <c r="DN348" s="445"/>
      <c r="DO348" s="445"/>
      <c r="DP348" s="445"/>
      <c r="DQ348" s="445"/>
      <c r="DR348" s="445"/>
      <c r="DS348" s="445"/>
      <c r="DT348" s="445"/>
      <c r="DU348" s="445"/>
      <c r="DV348" s="445"/>
      <c r="DW348" s="445"/>
      <c r="DX348" s="445"/>
      <c r="DY348" s="445"/>
      <c r="DZ348" s="445"/>
      <c r="EA348" s="445"/>
      <c r="EB348" s="445"/>
      <c r="EC348" s="445"/>
      <c r="ED348" s="445"/>
      <c r="EE348" s="445"/>
      <c r="EF348" s="445"/>
      <c r="EG348" s="445"/>
      <c r="EH348" s="445"/>
      <c r="EI348" s="445"/>
      <c r="EJ348" s="445"/>
      <c r="EK348" s="445"/>
      <c r="EL348" s="445"/>
      <c r="EM348" s="445"/>
      <c r="EN348" s="445"/>
      <c r="EO348" s="445"/>
      <c r="EP348" s="445"/>
      <c r="EQ348" s="445"/>
      <c r="ER348" s="445"/>
      <c r="ES348" s="445"/>
      <c r="ET348" s="445"/>
      <c r="EU348" s="445"/>
      <c r="EV348" s="445"/>
      <c r="EW348" s="445"/>
      <c r="EX348" s="445"/>
      <c r="EY348" s="445"/>
      <c r="EZ348" s="445"/>
      <c r="FA348" s="445"/>
      <c r="FB348" s="445"/>
      <c r="FC348" s="445"/>
      <c r="FD348" s="445"/>
      <c r="FE348" s="445"/>
      <c r="FF348" s="445"/>
      <c r="FG348" s="445"/>
      <c r="FH348" s="445"/>
      <c r="FI348" s="445"/>
      <c r="FJ348" s="445"/>
      <c r="FK348" s="445"/>
      <c r="FL348" s="445"/>
      <c r="FM348" s="445"/>
      <c r="FN348" s="445"/>
      <c r="FO348" s="445"/>
      <c r="FP348" s="445"/>
    </row>
    <row r="349" spans="1:172" s="453" customFormat="1" hidden="1" x14ac:dyDescent="0.3">
      <c r="A349" s="455"/>
      <c r="B349" s="455"/>
      <c r="C349" s="539"/>
      <c r="D349" s="539"/>
      <c r="E349" s="567"/>
      <c r="F349" s="568"/>
      <c r="G349" s="568"/>
      <c r="H349" s="568"/>
      <c r="I349" s="568"/>
      <c r="J349" s="106"/>
      <c r="K349"/>
      <c r="L349" s="445"/>
      <c r="M349" s="445"/>
      <c r="N349" s="445"/>
      <c r="O349" s="445"/>
      <c r="P349" s="445"/>
      <c r="Q349" s="445"/>
      <c r="R349" s="445"/>
      <c r="S349" s="445"/>
      <c r="T349" s="445"/>
      <c r="U349" s="445"/>
      <c r="V349" s="445"/>
      <c r="W349" s="445"/>
      <c r="X349" s="445"/>
      <c r="Y349" s="445"/>
      <c r="Z349" s="445"/>
      <c r="AA349" s="445"/>
      <c r="AB349" s="445"/>
      <c r="AC349" s="445"/>
      <c r="AD349" s="445"/>
      <c r="AE349" s="445"/>
      <c r="AF349" s="445"/>
      <c r="AG349" s="445"/>
      <c r="AH349" s="445"/>
      <c r="AI349" s="445"/>
      <c r="AJ349" s="445"/>
      <c r="AK349" s="445"/>
      <c r="AL349" s="445"/>
      <c r="AM349" s="445"/>
      <c r="AN349" s="445"/>
      <c r="AO349" s="445"/>
      <c r="AP349" s="445"/>
      <c r="AQ349" s="445"/>
      <c r="AR349" s="445"/>
      <c r="AS349" s="445"/>
      <c r="AT349" s="445"/>
      <c r="AU349" s="445"/>
      <c r="AV349" s="445"/>
      <c r="AW349" s="445"/>
      <c r="AX349" s="445"/>
      <c r="AY349" s="445"/>
      <c r="AZ349" s="445"/>
      <c r="BA349" s="445"/>
      <c r="BB349" s="445"/>
      <c r="BC349" s="445"/>
      <c r="BD349" s="445"/>
      <c r="BE349" s="445"/>
      <c r="BF349" s="445"/>
      <c r="BG349" s="445"/>
      <c r="BH349" s="445"/>
      <c r="BI349" s="445"/>
      <c r="BJ349" s="445"/>
      <c r="BK349" s="445"/>
      <c r="BL349" s="445"/>
      <c r="BM349" s="445"/>
      <c r="BN349" s="445"/>
      <c r="BO349" s="445"/>
      <c r="BP349" s="445"/>
      <c r="BQ349" s="445"/>
      <c r="BR349" s="445"/>
      <c r="BS349" s="445"/>
      <c r="BT349" s="445"/>
      <c r="BU349" s="445"/>
      <c r="BV349" s="445"/>
      <c r="BW349" s="445"/>
      <c r="BX349" s="445"/>
      <c r="BY349" s="445"/>
      <c r="BZ349" s="445"/>
      <c r="CA349" s="445"/>
      <c r="CB349" s="445"/>
      <c r="CC349" s="445"/>
      <c r="CD349" s="445"/>
      <c r="CE349" s="445"/>
      <c r="CF349" s="445"/>
      <c r="CG349" s="445"/>
      <c r="CH349" s="445"/>
      <c r="CI349" s="445"/>
      <c r="CJ349" s="445"/>
      <c r="CK349" s="445"/>
      <c r="CL349" s="445"/>
      <c r="CM349" s="445"/>
      <c r="CN349" s="445"/>
      <c r="CO349" s="445"/>
      <c r="CP349" s="445"/>
      <c r="CQ349" s="445"/>
      <c r="CR349" s="445"/>
      <c r="CS349" s="445"/>
      <c r="CT349" s="445"/>
      <c r="CU349" s="445"/>
      <c r="CV349" s="445"/>
      <c r="CW349" s="445"/>
      <c r="CX349" s="445"/>
      <c r="CY349" s="445"/>
      <c r="CZ349" s="445"/>
      <c r="DA349" s="445"/>
      <c r="DB349" s="445"/>
      <c r="DC349" s="445"/>
      <c r="DD349" s="445"/>
      <c r="DE349" s="445"/>
      <c r="DF349" s="445"/>
      <c r="DG349" s="445"/>
      <c r="DH349" s="445"/>
      <c r="DI349" s="445"/>
      <c r="DJ349" s="445"/>
      <c r="DK349" s="445"/>
      <c r="DL349" s="445"/>
      <c r="DM349" s="445"/>
      <c r="DN349" s="445"/>
      <c r="DO349" s="445"/>
      <c r="DP349" s="445"/>
      <c r="DQ349" s="445"/>
      <c r="DR349" s="445"/>
      <c r="DS349" s="445"/>
      <c r="DT349" s="445"/>
      <c r="DU349" s="445"/>
      <c r="DV349" s="445"/>
      <c r="DW349" s="445"/>
      <c r="DX349" s="445"/>
      <c r="DY349" s="445"/>
      <c r="DZ349" s="445"/>
      <c r="EA349" s="445"/>
      <c r="EB349" s="445"/>
      <c r="EC349" s="445"/>
      <c r="ED349" s="445"/>
      <c r="EE349" s="445"/>
      <c r="EF349" s="445"/>
      <c r="EG349" s="445"/>
      <c r="EH349" s="445"/>
      <c r="EI349" s="445"/>
      <c r="EJ349" s="445"/>
      <c r="EK349" s="445"/>
      <c r="EL349" s="445"/>
      <c r="EM349" s="445"/>
      <c r="EN349" s="445"/>
      <c r="EO349" s="445"/>
      <c r="EP349" s="445"/>
      <c r="EQ349" s="445"/>
      <c r="ER349" s="445"/>
      <c r="ES349" s="445"/>
      <c r="ET349" s="445"/>
      <c r="EU349" s="445"/>
      <c r="EV349" s="445"/>
      <c r="EW349" s="445"/>
      <c r="EX349" s="445"/>
      <c r="EY349" s="445"/>
      <c r="EZ349" s="445"/>
      <c r="FA349" s="445"/>
      <c r="FB349" s="445"/>
      <c r="FC349" s="445"/>
      <c r="FD349" s="445"/>
      <c r="FE349" s="445"/>
      <c r="FF349" s="445"/>
      <c r="FG349" s="445"/>
      <c r="FH349" s="445"/>
      <c r="FI349" s="445"/>
      <c r="FJ349" s="445"/>
      <c r="FK349" s="445"/>
      <c r="FL349" s="445"/>
      <c r="FM349" s="445"/>
      <c r="FN349" s="445"/>
      <c r="FO349" s="445"/>
      <c r="FP349" s="445"/>
    </row>
    <row r="350" spans="1:172" s="453" customFormat="1" hidden="1" x14ac:dyDescent="0.3">
      <c r="A350" s="455"/>
      <c r="B350" s="455"/>
      <c r="C350" s="539"/>
      <c r="D350" s="539"/>
      <c r="E350" s="567"/>
      <c r="F350" s="568"/>
      <c r="G350" s="568"/>
      <c r="H350" s="568"/>
      <c r="I350" s="568"/>
      <c r="J350" s="106"/>
      <c r="K350"/>
      <c r="L350" s="445"/>
      <c r="M350" s="445"/>
      <c r="N350" s="445"/>
      <c r="O350" s="445"/>
      <c r="P350" s="445"/>
      <c r="Q350" s="445"/>
      <c r="R350" s="445"/>
      <c r="S350" s="445"/>
      <c r="T350" s="445"/>
      <c r="U350" s="445"/>
      <c r="V350" s="445"/>
      <c r="W350" s="445"/>
      <c r="X350" s="445"/>
      <c r="Y350" s="445"/>
      <c r="Z350" s="445"/>
      <c r="AA350" s="445"/>
      <c r="AB350" s="445"/>
      <c r="AC350" s="445"/>
      <c r="AD350" s="445"/>
      <c r="AE350" s="445"/>
      <c r="AF350" s="445"/>
      <c r="AG350" s="445"/>
      <c r="AH350" s="445"/>
      <c r="AI350" s="445"/>
      <c r="AJ350" s="445"/>
      <c r="AK350" s="445"/>
      <c r="AL350" s="445"/>
      <c r="AM350" s="445"/>
      <c r="AN350" s="445"/>
      <c r="AO350" s="445"/>
      <c r="AP350" s="445"/>
      <c r="AQ350" s="445"/>
      <c r="AR350" s="445"/>
      <c r="AS350" s="445"/>
      <c r="AT350" s="445"/>
      <c r="AU350" s="445"/>
      <c r="AV350" s="445"/>
      <c r="AW350" s="445"/>
      <c r="AX350" s="445"/>
      <c r="AY350" s="445"/>
      <c r="AZ350" s="445"/>
      <c r="BA350" s="445"/>
      <c r="BB350" s="445"/>
      <c r="BC350" s="445"/>
      <c r="BD350" s="445"/>
      <c r="BE350" s="445"/>
      <c r="BF350" s="445"/>
      <c r="BG350" s="445"/>
      <c r="BH350" s="445"/>
      <c r="BI350" s="445"/>
      <c r="BJ350" s="445"/>
      <c r="BK350" s="445"/>
      <c r="BL350" s="445"/>
      <c r="BM350" s="445"/>
      <c r="BN350" s="445"/>
      <c r="BO350" s="445"/>
      <c r="BP350" s="445"/>
      <c r="BQ350" s="445"/>
      <c r="BR350" s="445"/>
      <c r="BS350" s="445"/>
      <c r="BT350" s="445"/>
      <c r="BU350" s="445"/>
      <c r="BV350" s="445"/>
      <c r="BW350" s="445"/>
      <c r="BX350" s="445"/>
      <c r="BY350" s="445"/>
      <c r="BZ350" s="445"/>
      <c r="CA350" s="445"/>
      <c r="CB350" s="445"/>
      <c r="CC350" s="445"/>
      <c r="CD350" s="445"/>
      <c r="CE350" s="445"/>
      <c r="CF350" s="445"/>
      <c r="CG350" s="445"/>
      <c r="CH350" s="445"/>
      <c r="CI350" s="445"/>
      <c r="CJ350" s="445"/>
      <c r="CK350" s="445"/>
      <c r="CL350" s="445"/>
      <c r="CM350" s="445"/>
      <c r="CN350" s="445"/>
      <c r="CO350" s="445"/>
      <c r="CP350" s="445"/>
      <c r="CQ350" s="445"/>
      <c r="CR350" s="445"/>
      <c r="CS350" s="445"/>
      <c r="CT350" s="445"/>
      <c r="CU350" s="445"/>
      <c r="CV350" s="445"/>
      <c r="CW350" s="445"/>
      <c r="CX350" s="445"/>
      <c r="CY350" s="445"/>
      <c r="CZ350" s="445"/>
      <c r="DA350" s="445"/>
      <c r="DB350" s="445"/>
      <c r="DC350" s="445"/>
      <c r="DD350" s="445"/>
      <c r="DE350" s="445"/>
      <c r="DF350" s="445"/>
      <c r="DG350" s="445"/>
      <c r="DH350" s="445"/>
      <c r="DI350" s="445"/>
      <c r="DJ350" s="445"/>
      <c r="DK350" s="445"/>
      <c r="DL350" s="445"/>
      <c r="DM350" s="445"/>
      <c r="DN350" s="445"/>
      <c r="DO350" s="445"/>
      <c r="DP350" s="445"/>
      <c r="DQ350" s="445"/>
      <c r="DR350" s="445"/>
      <c r="DS350" s="445"/>
      <c r="DT350" s="445"/>
      <c r="DU350" s="445"/>
      <c r="DV350" s="445"/>
      <c r="DW350" s="445"/>
      <c r="DX350" s="445"/>
      <c r="DY350" s="445"/>
      <c r="DZ350" s="445"/>
      <c r="EA350" s="445"/>
      <c r="EB350" s="445"/>
      <c r="EC350" s="445"/>
      <c r="ED350" s="445"/>
      <c r="EE350" s="445"/>
      <c r="EF350" s="445"/>
      <c r="EG350" s="445"/>
      <c r="EH350" s="445"/>
      <c r="EI350" s="445"/>
      <c r="EJ350" s="445"/>
      <c r="EK350" s="445"/>
      <c r="EL350" s="445"/>
      <c r="EM350" s="445"/>
      <c r="EN350" s="445"/>
      <c r="EO350" s="445"/>
      <c r="EP350" s="445"/>
      <c r="EQ350" s="445"/>
      <c r="ER350" s="445"/>
      <c r="ES350" s="445"/>
      <c r="ET350" s="445"/>
      <c r="EU350" s="445"/>
      <c r="EV350" s="445"/>
      <c r="EW350" s="445"/>
      <c r="EX350" s="445"/>
      <c r="EY350" s="445"/>
      <c r="EZ350" s="445"/>
      <c r="FA350" s="445"/>
      <c r="FB350" s="445"/>
      <c r="FC350" s="445"/>
      <c r="FD350" s="445"/>
      <c r="FE350" s="445"/>
      <c r="FF350" s="445"/>
      <c r="FG350" s="445"/>
      <c r="FH350" s="445"/>
      <c r="FI350" s="445"/>
      <c r="FJ350" s="445"/>
      <c r="FK350" s="445"/>
      <c r="FL350" s="445"/>
      <c r="FM350" s="445"/>
      <c r="FN350" s="445"/>
      <c r="FO350" s="445"/>
      <c r="FP350" s="445"/>
    </row>
    <row r="351" spans="1:172" s="453" customFormat="1" x14ac:dyDescent="0.3">
      <c r="A351" s="455"/>
      <c r="B351" s="455"/>
      <c r="C351" s="539"/>
      <c r="D351" s="539"/>
      <c r="E351" s="567"/>
      <c r="F351" s="568"/>
      <c r="G351" s="568"/>
      <c r="H351" s="568"/>
      <c r="I351" s="568"/>
      <c r="J351" s="106"/>
      <c r="K351"/>
      <c r="L351" s="445"/>
      <c r="M351" s="445"/>
      <c r="N351" s="445"/>
      <c r="O351" s="445"/>
      <c r="P351" s="445"/>
      <c r="Q351" s="445"/>
      <c r="R351" s="445"/>
      <c r="S351" s="445"/>
      <c r="T351" s="445"/>
      <c r="U351" s="445"/>
      <c r="V351" s="445"/>
      <c r="W351" s="445"/>
      <c r="X351" s="445"/>
      <c r="Y351" s="445"/>
      <c r="Z351" s="445"/>
      <c r="AA351" s="445"/>
      <c r="AB351" s="445"/>
      <c r="AC351" s="445"/>
      <c r="AD351" s="445"/>
      <c r="AE351" s="445"/>
      <c r="AF351" s="445"/>
      <c r="AG351" s="445"/>
      <c r="AH351" s="445"/>
      <c r="AI351" s="445"/>
      <c r="AJ351" s="445"/>
      <c r="AK351" s="445"/>
      <c r="AL351" s="445"/>
      <c r="AM351" s="445"/>
      <c r="AN351" s="445"/>
      <c r="AO351" s="445"/>
      <c r="AP351" s="445"/>
      <c r="AQ351" s="445"/>
      <c r="AR351" s="445"/>
      <c r="AS351" s="445"/>
      <c r="AT351" s="445"/>
      <c r="AU351" s="445"/>
      <c r="AV351" s="445"/>
      <c r="AW351" s="445"/>
      <c r="AX351" s="445"/>
      <c r="AY351" s="445"/>
      <c r="AZ351" s="445"/>
      <c r="BA351" s="445"/>
      <c r="BB351" s="445"/>
      <c r="BC351" s="445"/>
      <c r="BD351" s="445"/>
      <c r="BE351" s="445"/>
      <c r="BF351" s="445"/>
      <c r="BG351" s="445"/>
      <c r="BH351" s="445"/>
      <c r="BI351" s="445"/>
      <c r="BJ351" s="445"/>
      <c r="BK351" s="445"/>
      <c r="BL351" s="445"/>
      <c r="BM351" s="445"/>
      <c r="BN351" s="445"/>
      <c r="BO351" s="445"/>
      <c r="BP351" s="445"/>
      <c r="BQ351" s="445"/>
      <c r="BR351" s="445"/>
      <c r="BS351" s="445"/>
      <c r="BT351" s="445"/>
      <c r="BU351" s="445"/>
      <c r="BV351" s="445"/>
      <c r="BW351" s="445"/>
      <c r="BX351" s="445"/>
      <c r="BY351" s="445"/>
      <c r="BZ351" s="445"/>
      <c r="CA351" s="445"/>
      <c r="CB351" s="445"/>
      <c r="CC351" s="445"/>
      <c r="CD351" s="445"/>
      <c r="CE351" s="445"/>
      <c r="CF351" s="445"/>
      <c r="CG351" s="445"/>
      <c r="CH351" s="445"/>
      <c r="CI351" s="445"/>
      <c r="CJ351" s="445"/>
      <c r="CK351" s="445"/>
      <c r="CL351" s="445"/>
      <c r="CM351" s="445"/>
      <c r="CN351" s="445"/>
      <c r="CO351" s="445"/>
      <c r="CP351" s="445"/>
      <c r="CQ351" s="445"/>
      <c r="CR351" s="445"/>
      <c r="CS351" s="445"/>
      <c r="CT351" s="445"/>
      <c r="CU351" s="445"/>
      <c r="CV351" s="445"/>
      <c r="CW351" s="445"/>
      <c r="CX351" s="445"/>
      <c r="CY351" s="445"/>
      <c r="CZ351" s="445"/>
      <c r="DA351" s="445"/>
      <c r="DB351" s="445"/>
      <c r="DC351" s="445"/>
      <c r="DD351" s="445"/>
      <c r="DE351" s="445"/>
      <c r="DF351" s="445"/>
      <c r="DG351" s="445"/>
      <c r="DH351" s="445"/>
      <c r="DI351" s="445"/>
      <c r="DJ351" s="445"/>
      <c r="DK351" s="445"/>
      <c r="DL351" s="445"/>
      <c r="DM351" s="445"/>
      <c r="DN351" s="445"/>
      <c r="DO351" s="445"/>
      <c r="DP351" s="445"/>
      <c r="DQ351" s="445"/>
      <c r="DR351" s="445"/>
      <c r="DS351" s="445"/>
      <c r="DT351" s="445"/>
      <c r="DU351" s="445"/>
      <c r="DV351" s="445"/>
      <c r="DW351" s="445"/>
      <c r="DX351" s="445"/>
      <c r="DY351" s="445"/>
      <c r="DZ351" s="445"/>
      <c r="EA351" s="445"/>
      <c r="EB351" s="445"/>
      <c r="EC351" s="445"/>
      <c r="ED351" s="445"/>
      <c r="EE351" s="445"/>
      <c r="EF351" s="445"/>
      <c r="EG351" s="445"/>
      <c r="EH351" s="445"/>
      <c r="EI351" s="445"/>
      <c r="EJ351" s="445"/>
      <c r="EK351" s="445"/>
      <c r="EL351" s="445"/>
      <c r="EM351" s="445"/>
      <c r="EN351" s="445"/>
      <c r="EO351" s="445"/>
      <c r="EP351" s="445"/>
      <c r="EQ351" s="445"/>
      <c r="ER351" s="445"/>
      <c r="ES351" s="445"/>
      <c r="ET351" s="445"/>
      <c r="EU351" s="445"/>
      <c r="EV351" s="445"/>
      <c r="EW351" s="445"/>
      <c r="EX351" s="445"/>
      <c r="EY351" s="445"/>
      <c r="EZ351" s="445"/>
      <c r="FA351" s="445"/>
      <c r="FB351" s="445"/>
      <c r="FC351" s="445"/>
      <c r="FD351" s="445"/>
      <c r="FE351" s="445"/>
      <c r="FF351" s="445"/>
      <c r="FG351" s="445"/>
      <c r="FH351" s="445"/>
      <c r="FI351" s="445"/>
      <c r="FJ351" s="445"/>
      <c r="FK351" s="445"/>
      <c r="FL351" s="445"/>
      <c r="FM351" s="445"/>
      <c r="FN351" s="445"/>
      <c r="FO351" s="445"/>
      <c r="FP351" s="445"/>
    </row>
    <row r="352" spans="1:172" s="453" customFormat="1" x14ac:dyDescent="0.3">
      <c r="A352" s="458" t="s">
        <v>647</v>
      </c>
      <c r="B352" s="454" t="s">
        <v>147</v>
      </c>
      <c r="C352" s="459">
        <v>12</v>
      </c>
      <c r="D352" s="542">
        <v>6.1199999999999997E-2</v>
      </c>
      <c r="E352" s="499">
        <v>25605</v>
      </c>
      <c r="F352" s="456">
        <f t="shared" ref="F352:F362" si="112">(E352/C352)*12</f>
        <v>25605</v>
      </c>
      <c r="G352" s="456">
        <f t="shared" ref="G352:G362" si="113">F352+F352*D352</f>
        <v>27172.025999999998</v>
      </c>
      <c r="H352" s="492">
        <f t="shared" ref="H352:H358" si="114">G352*(1+COLA/100)</f>
        <v>27987.18678</v>
      </c>
      <c r="I352" s="456">
        <f t="shared" ref="I352:I362" si="115">H352/12</f>
        <v>2332.2655650000002</v>
      </c>
      <c r="J352" s="489"/>
      <c r="K352"/>
      <c r="L352" s="445"/>
      <c r="M352" s="445"/>
      <c r="N352" s="445"/>
      <c r="O352" s="445"/>
      <c r="P352" s="445"/>
      <c r="Q352" s="445"/>
      <c r="R352" s="445"/>
      <c r="S352" s="445"/>
      <c r="T352" s="445"/>
      <c r="U352" s="445"/>
      <c r="V352" s="445"/>
      <c r="W352" s="445"/>
      <c r="X352" s="445"/>
      <c r="Y352" s="445"/>
      <c r="Z352" s="445"/>
      <c r="AA352" s="445"/>
      <c r="AB352" s="445"/>
      <c r="AC352" s="445"/>
      <c r="AD352" s="445"/>
      <c r="AE352" s="445"/>
      <c r="AF352" s="445"/>
      <c r="AG352" s="445"/>
      <c r="AH352" s="445"/>
      <c r="AI352" s="445"/>
      <c r="AJ352" s="445"/>
      <c r="AK352" s="445"/>
      <c r="AL352" s="445"/>
      <c r="AM352" s="445"/>
      <c r="AN352" s="445"/>
      <c r="AO352" s="445"/>
      <c r="AP352" s="445"/>
      <c r="AQ352" s="445"/>
      <c r="AR352" s="445"/>
      <c r="AS352" s="445"/>
      <c r="AT352" s="445"/>
      <c r="AU352" s="445"/>
      <c r="AV352" s="445"/>
      <c r="AW352" s="445"/>
      <c r="AX352" s="445"/>
      <c r="AY352" s="445"/>
      <c r="AZ352" s="445"/>
      <c r="BA352" s="445"/>
      <c r="BB352" s="445"/>
      <c r="BC352" s="445"/>
      <c r="BD352" s="445"/>
      <c r="BE352" s="445"/>
      <c r="BF352" s="445"/>
      <c r="BG352" s="445"/>
      <c r="BH352" s="445"/>
      <c r="BI352" s="445"/>
      <c r="BJ352" s="445"/>
      <c r="BK352" s="445"/>
      <c r="BL352" s="445"/>
      <c r="BM352" s="445"/>
      <c r="BN352" s="445"/>
      <c r="BO352" s="445"/>
      <c r="BP352" s="445"/>
      <c r="BQ352" s="445"/>
      <c r="BR352" s="445"/>
      <c r="BS352" s="445"/>
      <c r="BT352" s="445"/>
      <c r="BU352" s="445"/>
      <c r="BV352" s="445"/>
      <c r="BW352" s="445"/>
      <c r="BX352" s="445"/>
      <c r="BY352" s="445"/>
      <c r="BZ352" s="445"/>
      <c r="CA352" s="445"/>
      <c r="CB352" s="445"/>
      <c r="CC352" s="445"/>
      <c r="CD352" s="445"/>
      <c r="CE352" s="445"/>
      <c r="CF352" s="445"/>
      <c r="CG352" s="445"/>
      <c r="CH352" s="445"/>
      <c r="CI352" s="445"/>
      <c r="CJ352" s="445"/>
      <c r="CK352" s="445"/>
      <c r="CL352" s="445"/>
      <c r="CM352" s="445"/>
      <c r="CN352" s="445"/>
      <c r="CO352" s="445"/>
      <c r="CP352" s="445"/>
      <c r="CQ352" s="445"/>
      <c r="CR352" s="445"/>
      <c r="CS352" s="445"/>
      <c r="CT352" s="445"/>
      <c r="CU352" s="445"/>
      <c r="CV352" s="445"/>
      <c r="CW352" s="445"/>
      <c r="CX352" s="445"/>
      <c r="CY352" s="445"/>
      <c r="CZ352" s="445"/>
      <c r="DA352" s="445"/>
      <c r="DB352" s="445"/>
      <c r="DC352" s="445"/>
      <c r="DD352" s="445"/>
      <c r="DE352" s="445"/>
      <c r="DF352" s="445"/>
      <c r="DG352" s="445"/>
      <c r="DH352" s="445"/>
      <c r="DI352" s="445"/>
      <c r="DJ352" s="445"/>
      <c r="DK352" s="445"/>
      <c r="DL352" s="445"/>
      <c r="DM352" s="445"/>
      <c r="DN352" s="445"/>
      <c r="DO352" s="445"/>
      <c r="DP352" s="445"/>
      <c r="DQ352" s="445"/>
      <c r="DR352" s="445"/>
      <c r="DS352" s="445"/>
      <c r="DT352" s="445"/>
      <c r="DU352" s="445"/>
      <c r="DV352" s="445"/>
      <c r="DW352" s="445"/>
      <c r="DX352" s="445"/>
      <c r="DY352" s="445"/>
      <c r="DZ352" s="445"/>
      <c r="EA352" s="445"/>
      <c r="EB352" s="445"/>
      <c r="EC352" s="445"/>
      <c r="ED352" s="445"/>
      <c r="EE352" s="445"/>
      <c r="EF352" s="445"/>
      <c r="EG352" s="445"/>
      <c r="EH352" s="445"/>
      <c r="EI352" s="445"/>
      <c r="EJ352" s="445"/>
      <c r="EK352" s="445"/>
      <c r="EL352" s="445"/>
      <c r="EM352" s="445"/>
      <c r="EN352" s="445"/>
      <c r="EO352" s="445"/>
      <c r="EP352" s="445"/>
      <c r="EQ352" s="445"/>
      <c r="ER352" s="445"/>
      <c r="ES352" s="445"/>
      <c r="ET352" s="445"/>
      <c r="EU352" s="445"/>
      <c r="EV352" s="445"/>
      <c r="EW352" s="445"/>
      <c r="EX352" s="445"/>
      <c r="EY352" s="445"/>
      <c r="EZ352" s="445"/>
      <c r="FA352" s="445"/>
      <c r="FB352" s="445"/>
      <c r="FC352" s="445"/>
      <c r="FD352" s="445"/>
      <c r="FE352" s="445"/>
      <c r="FF352" s="445"/>
      <c r="FG352" s="445"/>
      <c r="FH352" s="445"/>
      <c r="FI352" s="445"/>
      <c r="FJ352" s="445"/>
      <c r="FK352" s="445"/>
      <c r="FL352" s="445"/>
      <c r="FM352" s="445"/>
      <c r="FN352" s="445"/>
      <c r="FO352" s="445"/>
      <c r="FP352" s="445"/>
    </row>
    <row r="353" spans="1:172" s="453" customFormat="1" x14ac:dyDescent="0.3">
      <c r="A353" s="458" t="s">
        <v>648</v>
      </c>
      <c r="B353" s="454" t="s">
        <v>147</v>
      </c>
      <c r="C353" s="459">
        <v>12</v>
      </c>
      <c r="D353" s="542">
        <v>6.1199999999999997E-2</v>
      </c>
      <c r="E353" s="499">
        <v>65890</v>
      </c>
      <c r="F353" s="456">
        <f t="shared" si="112"/>
        <v>65890</v>
      </c>
      <c r="G353" s="456">
        <f t="shared" si="113"/>
        <v>69922.467999999993</v>
      </c>
      <c r="H353" s="492">
        <f t="shared" si="114"/>
        <v>72020.142039999992</v>
      </c>
      <c r="I353" s="456">
        <f t="shared" si="115"/>
        <v>6001.6785033333326</v>
      </c>
      <c r="J353" s="489"/>
      <c r="K353"/>
      <c r="L353" s="445"/>
      <c r="M353" s="445"/>
      <c r="N353" s="445"/>
      <c r="O353" s="445"/>
      <c r="P353" s="445"/>
      <c r="Q353" s="445"/>
      <c r="R353" s="445"/>
      <c r="S353" s="445"/>
      <c r="T353" s="445"/>
      <c r="U353" s="445"/>
      <c r="V353" s="445"/>
      <c r="W353" s="445"/>
      <c r="X353" s="445"/>
      <c r="Y353" s="445"/>
      <c r="Z353" s="445"/>
      <c r="AA353" s="445"/>
      <c r="AB353" s="445"/>
      <c r="AC353" s="445"/>
      <c r="AD353" s="445"/>
      <c r="AE353" s="445"/>
      <c r="AF353" s="445"/>
      <c r="AG353" s="445"/>
      <c r="AH353" s="445"/>
      <c r="AI353" s="445"/>
      <c r="AJ353" s="445"/>
      <c r="AK353" s="445"/>
      <c r="AL353" s="445"/>
      <c r="AM353" s="445"/>
      <c r="AN353" s="445"/>
      <c r="AO353" s="445"/>
      <c r="AP353" s="445"/>
      <c r="AQ353" s="445"/>
      <c r="AR353" s="445"/>
      <c r="AS353" s="445"/>
      <c r="AT353" s="445"/>
      <c r="AU353" s="445"/>
      <c r="AV353" s="445"/>
      <c r="AW353" s="445"/>
      <c r="AX353" s="445"/>
      <c r="AY353" s="445"/>
      <c r="AZ353" s="445"/>
      <c r="BA353" s="445"/>
      <c r="BB353" s="445"/>
      <c r="BC353" s="445"/>
      <c r="BD353" s="445"/>
      <c r="BE353" s="445"/>
      <c r="BF353" s="445"/>
      <c r="BG353" s="445"/>
      <c r="BH353" s="445"/>
      <c r="BI353" s="445"/>
      <c r="BJ353" s="445"/>
      <c r="BK353" s="445"/>
      <c r="BL353" s="445"/>
      <c r="BM353" s="445"/>
      <c r="BN353" s="445"/>
      <c r="BO353" s="445"/>
      <c r="BP353" s="445"/>
      <c r="BQ353" s="445"/>
      <c r="BR353" s="445"/>
      <c r="BS353" s="445"/>
      <c r="BT353" s="445"/>
      <c r="BU353" s="445"/>
      <c r="BV353" s="445"/>
      <c r="BW353" s="445"/>
      <c r="BX353" s="445"/>
      <c r="BY353" s="445"/>
      <c r="BZ353" s="445"/>
      <c r="CA353" s="445"/>
      <c r="CB353" s="445"/>
      <c r="CC353" s="445"/>
      <c r="CD353" s="445"/>
      <c r="CE353" s="445"/>
      <c r="CF353" s="445"/>
      <c r="CG353" s="445"/>
      <c r="CH353" s="445"/>
      <c r="CI353" s="445"/>
      <c r="CJ353" s="445"/>
      <c r="CK353" s="445"/>
      <c r="CL353" s="445"/>
      <c r="CM353" s="445"/>
      <c r="CN353" s="445"/>
      <c r="CO353" s="445"/>
      <c r="CP353" s="445"/>
      <c r="CQ353" s="445"/>
      <c r="CR353" s="445"/>
      <c r="CS353" s="445"/>
      <c r="CT353" s="445"/>
      <c r="CU353" s="445"/>
      <c r="CV353" s="445"/>
      <c r="CW353" s="445"/>
      <c r="CX353" s="445"/>
      <c r="CY353" s="445"/>
      <c r="CZ353" s="445"/>
      <c r="DA353" s="445"/>
      <c r="DB353" s="445"/>
      <c r="DC353" s="445"/>
      <c r="DD353" s="445"/>
      <c r="DE353" s="445"/>
      <c r="DF353" s="445"/>
      <c r="DG353" s="445"/>
      <c r="DH353" s="445"/>
      <c r="DI353" s="445"/>
      <c r="DJ353" s="445"/>
      <c r="DK353" s="445"/>
      <c r="DL353" s="445"/>
      <c r="DM353" s="445"/>
      <c r="DN353" s="445"/>
      <c r="DO353" s="445"/>
      <c r="DP353" s="445"/>
      <c r="DQ353" s="445"/>
      <c r="DR353" s="445"/>
      <c r="DS353" s="445"/>
      <c r="DT353" s="445"/>
      <c r="DU353" s="445"/>
      <c r="DV353" s="445"/>
      <c r="DW353" s="445"/>
      <c r="DX353" s="445"/>
      <c r="DY353" s="445"/>
      <c r="DZ353" s="445"/>
      <c r="EA353" s="445"/>
      <c r="EB353" s="445"/>
      <c r="EC353" s="445"/>
      <c r="ED353" s="445"/>
      <c r="EE353" s="445"/>
      <c r="EF353" s="445"/>
      <c r="EG353" s="445"/>
      <c r="EH353" s="445"/>
      <c r="EI353" s="445"/>
      <c r="EJ353" s="445"/>
      <c r="EK353" s="445"/>
      <c r="EL353" s="445"/>
      <c r="EM353" s="445"/>
      <c r="EN353" s="445"/>
      <c r="EO353" s="445"/>
      <c r="EP353" s="445"/>
      <c r="EQ353" s="445"/>
      <c r="ER353" s="445"/>
      <c r="ES353" s="445"/>
      <c r="ET353" s="445"/>
      <c r="EU353" s="445"/>
      <c r="EV353" s="445"/>
      <c r="EW353" s="445"/>
      <c r="EX353" s="445"/>
      <c r="EY353" s="445"/>
      <c r="EZ353" s="445"/>
      <c r="FA353" s="445"/>
      <c r="FB353" s="445"/>
      <c r="FC353" s="445"/>
      <c r="FD353" s="445"/>
      <c r="FE353" s="445"/>
      <c r="FF353" s="445"/>
      <c r="FG353" s="445"/>
      <c r="FH353" s="445"/>
      <c r="FI353" s="445"/>
      <c r="FJ353" s="445"/>
      <c r="FK353" s="445"/>
      <c r="FL353" s="445"/>
      <c r="FM353" s="445"/>
      <c r="FN353" s="445"/>
      <c r="FO353" s="445"/>
      <c r="FP353" s="445"/>
    </row>
    <row r="354" spans="1:172" s="453" customFormat="1" x14ac:dyDescent="0.3">
      <c r="A354" s="458" t="s">
        <v>649</v>
      </c>
      <c r="B354" s="454" t="s">
        <v>147</v>
      </c>
      <c r="C354" s="459">
        <v>12</v>
      </c>
      <c r="D354" s="542">
        <v>6.1199999999999997E-2</v>
      </c>
      <c r="E354" s="499">
        <f>ROUND((54000*1.0612),0)</f>
        <v>57305</v>
      </c>
      <c r="F354" s="456">
        <f t="shared" si="112"/>
        <v>57305</v>
      </c>
      <c r="G354" s="456">
        <f t="shared" si="113"/>
        <v>60812.065999999999</v>
      </c>
      <c r="H354" s="492">
        <f t="shared" si="114"/>
        <v>62636.42798</v>
      </c>
      <c r="I354" s="456">
        <f t="shared" si="115"/>
        <v>5219.7023316666664</v>
      </c>
      <c r="J354" s="489"/>
      <c r="K354"/>
      <c r="L354" s="445"/>
      <c r="M354" s="445"/>
      <c r="N354" s="445"/>
      <c r="O354" s="445"/>
      <c r="P354" s="445"/>
      <c r="Q354" s="445"/>
      <c r="R354" s="445"/>
      <c r="S354" s="445"/>
      <c r="T354" s="445"/>
      <c r="U354" s="445"/>
      <c r="V354" s="445"/>
      <c r="W354" s="445"/>
      <c r="X354" s="445"/>
      <c r="Y354" s="445"/>
      <c r="Z354" s="445"/>
      <c r="AA354" s="445"/>
      <c r="AB354" s="445"/>
      <c r="AC354" s="445"/>
      <c r="AD354" s="445"/>
      <c r="AE354" s="445"/>
      <c r="AF354" s="445"/>
      <c r="AG354" s="445"/>
      <c r="AH354" s="445"/>
      <c r="AI354" s="445"/>
      <c r="AJ354" s="445"/>
      <c r="AK354" s="445"/>
      <c r="AL354" s="445"/>
      <c r="AM354" s="445"/>
      <c r="AN354" s="445"/>
      <c r="AO354" s="445"/>
      <c r="AP354" s="445"/>
      <c r="AQ354" s="445"/>
      <c r="AR354" s="445"/>
      <c r="AS354" s="445"/>
      <c r="AT354" s="445"/>
      <c r="AU354" s="445"/>
      <c r="AV354" s="445"/>
      <c r="AW354" s="445"/>
      <c r="AX354" s="445"/>
      <c r="AY354" s="445"/>
      <c r="AZ354" s="445"/>
      <c r="BA354" s="445"/>
      <c r="BB354" s="445"/>
      <c r="BC354" s="445"/>
      <c r="BD354" s="445"/>
      <c r="BE354" s="445"/>
      <c r="BF354" s="445"/>
      <c r="BG354" s="445"/>
      <c r="BH354" s="445"/>
      <c r="BI354" s="445"/>
      <c r="BJ354" s="445"/>
      <c r="BK354" s="445"/>
      <c r="BL354" s="445"/>
      <c r="BM354" s="445"/>
      <c r="BN354" s="445"/>
      <c r="BO354" s="445"/>
      <c r="BP354" s="445"/>
      <c r="BQ354" s="445"/>
      <c r="BR354" s="445"/>
      <c r="BS354" s="445"/>
      <c r="BT354" s="445"/>
      <c r="BU354" s="445"/>
      <c r="BV354" s="445"/>
      <c r="BW354" s="445"/>
      <c r="BX354" s="445"/>
      <c r="BY354" s="445"/>
      <c r="BZ354" s="445"/>
      <c r="CA354" s="445"/>
      <c r="CB354" s="445"/>
      <c r="CC354" s="445"/>
      <c r="CD354" s="445"/>
      <c r="CE354" s="445"/>
      <c r="CF354" s="445"/>
      <c r="CG354" s="445"/>
      <c r="CH354" s="445"/>
      <c r="CI354" s="445"/>
      <c r="CJ354" s="445"/>
      <c r="CK354" s="445"/>
      <c r="CL354" s="445"/>
      <c r="CM354" s="445"/>
      <c r="CN354" s="445"/>
      <c r="CO354" s="445"/>
      <c r="CP354" s="445"/>
      <c r="CQ354" s="445"/>
      <c r="CR354" s="445"/>
      <c r="CS354" s="445"/>
      <c r="CT354" s="445"/>
      <c r="CU354" s="445"/>
      <c r="CV354" s="445"/>
      <c r="CW354" s="445"/>
      <c r="CX354" s="445"/>
      <c r="CY354" s="445"/>
      <c r="CZ354" s="445"/>
      <c r="DA354" s="445"/>
      <c r="DB354" s="445"/>
      <c r="DC354" s="445"/>
      <c r="DD354" s="445"/>
      <c r="DE354" s="445"/>
      <c r="DF354" s="445"/>
      <c r="DG354" s="445"/>
      <c r="DH354" s="445"/>
      <c r="DI354" s="445"/>
      <c r="DJ354" s="445"/>
      <c r="DK354" s="445"/>
      <c r="DL354" s="445"/>
      <c r="DM354" s="445"/>
      <c r="DN354" s="445"/>
      <c r="DO354" s="445"/>
      <c r="DP354" s="445"/>
      <c r="DQ354" s="445"/>
      <c r="DR354" s="445"/>
      <c r="DS354" s="445"/>
      <c r="DT354" s="445"/>
      <c r="DU354" s="445"/>
      <c r="DV354" s="445"/>
      <c r="DW354" s="445"/>
      <c r="DX354" s="445"/>
      <c r="DY354" s="445"/>
      <c r="DZ354" s="445"/>
      <c r="EA354" s="445"/>
      <c r="EB354" s="445"/>
      <c r="EC354" s="445"/>
      <c r="ED354" s="445"/>
      <c r="EE354" s="445"/>
      <c r="EF354" s="445"/>
      <c r="EG354" s="445"/>
      <c r="EH354" s="445"/>
      <c r="EI354" s="445"/>
      <c r="EJ354" s="445"/>
      <c r="EK354" s="445"/>
      <c r="EL354" s="445"/>
      <c r="EM354" s="445"/>
      <c r="EN354" s="445"/>
      <c r="EO354" s="445"/>
      <c r="EP354" s="445"/>
      <c r="EQ354" s="445"/>
      <c r="ER354" s="445"/>
      <c r="ES354" s="445"/>
      <c r="ET354" s="445"/>
      <c r="EU354" s="445"/>
      <c r="EV354" s="445"/>
      <c r="EW354" s="445"/>
      <c r="EX354" s="445"/>
      <c r="EY354" s="445"/>
      <c r="EZ354" s="445"/>
      <c r="FA354" s="445"/>
      <c r="FB354" s="445"/>
      <c r="FC354" s="445"/>
      <c r="FD354" s="445"/>
      <c r="FE354" s="445"/>
      <c r="FF354" s="445"/>
      <c r="FG354" s="445"/>
      <c r="FH354" s="445"/>
      <c r="FI354" s="445"/>
      <c r="FJ354" s="445"/>
      <c r="FK354" s="445"/>
      <c r="FL354" s="445"/>
      <c r="FM354" s="445"/>
      <c r="FN354" s="445"/>
      <c r="FO354" s="445"/>
      <c r="FP354" s="445"/>
    </row>
    <row r="355" spans="1:172" s="453" customFormat="1" x14ac:dyDescent="0.3">
      <c r="A355" s="458" t="s">
        <v>650</v>
      </c>
      <c r="B355" s="454" t="s">
        <v>147</v>
      </c>
      <c r="C355" s="459">
        <v>12</v>
      </c>
      <c r="D355" s="542">
        <v>6.1199999999999997E-2</v>
      </c>
      <c r="E355" s="499">
        <v>43375</v>
      </c>
      <c r="F355" s="456">
        <f t="shared" si="112"/>
        <v>43375</v>
      </c>
      <c r="G355" s="456">
        <f t="shared" si="113"/>
        <v>46029.55</v>
      </c>
      <c r="H355" s="492">
        <f t="shared" si="114"/>
        <v>47410.436500000003</v>
      </c>
      <c r="I355" s="456">
        <f t="shared" si="115"/>
        <v>3950.8697083333336</v>
      </c>
      <c r="J355" s="489"/>
      <c r="K355"/>
      <c r="L355" s="445"/>
      <c r="M355" s="445"/>
      <c r="N355" s="445"/>
      <c r="O355" s="445"/>
      <c r="P355" s="445"/>
      <c r="Q355" s="445"/>
      <c r="R355" s="445"/>
      <c r="S355" s="445"/>
      <c r="T355" s="445"/>
      <c r="U355" s="445"/>
      <c r="V355" s="445"/>
      <c r="W355" s="445"/>
      <c r="X355" s="445"/>
      <c r="Y355" s="445"/>
      <c r="Z355" s="445"/>
      <c r="AA355" s="445"/>
      <c r="AB355" s="445"/>
      <c r="AC355" s="445"/>
      <c r="AD355" s="445"/>
      <c r="AE355" s="445"/>
      <c r="AF355" s="445"/>
      <c r="AG355" s="445"/>
      <c r="AH355" s="445"/>
      <c r="AI355" s="445"/>
      <c r="AJ355" s="445"/>
      <c r="AK355" s="445"/>
      <c r="AL355" s="445"/>
      <c r="AM355" s="445"/>
      <c r="AN355" s="445"/>
      <c r="AO355" s="445"/>
      <c r="AP355" s="445"/>
      <c r="AQ355" s="445"/>
      <c r="AR355" s="445"/>
      <c r="AS355" s="445"/>
      <c r="AT355" s="445"/>
      <c r="AU355" s="445"/>
      <c r="AV355" s="445"/>
      <c r="AW355" s="445"/>
      <c r="AX355" s="445"/>
      <c r="AY355" s="445"/>
      <c r="AZ355" s="445"/>
      <c r="BA355" s="445"/>
      <c r="BB355" s="445"/>
      <c r="BC355" s="445"/>
      <c r="BD355" s="445"/>
      <c r="BE355" s="445"/>
      <c r="BF355" s="445"/>
      <c r="BG355" s="445"/>
      <c r="BH355" s="445"/>
      <c r="BI355" s="445"/>
      <c r="BJ355" s="445"/>
      <c r="BK355" s="445"/>
      <c r="BL355" s="445"/>
      <c r="BM355" s="445"/>
      <c r="BN355" s="445"/>
      <c r="BO355" s="445"/>
      <c r="BP355" s="445"/>
      <c r="BQ355" s="445"/>
      <c r="BR355" s="445"/>
      <c r="BS355" s="445"/>
      <c r="BT355" s="445"/>
      <c r="BU355" s="445"/>
      <c r="BV355" s="445"/>
      <c r="BW355" s="445"/>
      <c r="BX355" s="445"/>
      <c r="BY355" s="445"/>
      <c r="BZ355" s="445"/>
      <c r="CA355" s="445"/>
      <c r="CB355" s="445"/>
      <c r="CC355" s="445"/>
      <c r="CD355" s="445"/>
      <c r="CE355" s="445"/>
      <c r="CF355" s="445"/>
      <c r="CG355" s="445"/>
      <c r="CH355" s="445"/>
      <c r="CI355" s="445"/>
      <c r="CJ355" s="445"/>
      <c r="CK355" s="445"/>
      <c r="CL355" s="445"/>
      <c r="CM355" s="445"/>
      <c r="CN355" s="445"/>
      <c r="CO355" s="445"/>
      <c r="CP355" s="445"/>
      <c r="CQ355" s="445"/>
      <c r="CR355" s="445"/>
      <c r="CS355" s="445"/>
      <c r="CT355" s="445"/>
      <c r="CU355" s="445"/>
      <c r="CV355" s="445"/>
      <c r="CW355" s="445"/>
      <c r="CX355" s="445"/>
      <c r="CY355" s="445"/>
      <c r="CZ355" s="445"/>
      <c r="DA355" s="445"/>
      <c r="DB355" s="445"/>
      <c r="DC355" s="445"/>
      <c r="DD355" s="445"/>
      <c r="DE355" s="445"/>
      <c r="DF355" s="445"/>
      <c r="DG355" s="445"/>
      <c r="DH355" s="445"/>
      <c r="DI355" s="445"/>
      <c r="DJ355" s="445"/>
      <c r="DK355" s="445"/>
      <c r="DL355" s="445"/>
      <c r="DM355" s="445"/>
      <c r="DN355" s="445"/>
      <c r="DO355" s="445"/>
      <c r="DP355" s="445"/>
      <c r="DQ355" s="445"/>
      <c r="DR355" s="445"/>
      <c r="DS355" s="445"/>
      <c r="DT355" s="445"/>
      <c r="DU355" s="445"/>
      <c r="DV355" s="445"/>
      <c r="DW355" s="445"/>
      <c r="DX355" s="445"/>
      <c r="DY355" s="445"/>
      <c r="DZ355" s="445"/>
      <c r="EA355" s="445"/>
      <c r="EB355" s="445"/>
      <c r="EC355" s="445"/>
      <c r="ED355" s="445"/>
      <c r="EE355" s="445"/>
      <c r="EF355" s="445"/>
      <c r="EG355" s="445"/>
      <c r="EH355" s="445"/>
      <c r="EI355" s="445"/>
      <c r="EJ355" s="445"/>
      <c r="EK355" s="445"/>
      <c r="EL355" s="445"/>
      <c r="EM355" s="445"/>
      <c r="EN355" s="445"/>
      <c r="EO355" s="445"/>
      <c r="EP355" s="445"/>
      <c r="EQ355" s="445"/>
      <c r="ER355" s="445"/>
      <c r="ES355" s="445"/>
      <c r="ET355" s="445"/>
      <c r="EU355" s="445"/>
      <c r="EV355" s="445"/>
      <c r="EW355" s="445"/>
      <c r="EX355" s="445"/>
      <c r="EY355" s="445"/>
      <c r="EZ355" s="445"/>
      <c r="FA355" s="445"/>
      <c r="FB355" s="445"/>
      <c r="FC355" s="445"/>
      <c r="FD355" s="445"/>
      <c r="FE355" s="445"/>
      <c r="FF355" s="445"/>
      <c r="FG355" s="445"/>
      <c r="FH355" s="445"/>
      <c r="FI355" s="445"/>
      <c r="FJ355" s="445"/>
      <c r="FK355" s="445"/>
      <c r="FL355" s="445"/>
      <c r="FM355" s="445"/>
      <c r="FN355" s="445"/>
      <c r="FO355" s="445"/>
      <c r="FP355" s="445"/>
    </row>
    <row r="356" spans="1:172" s="453" customFormat="1" x14ac:dyDescent="0.3">
      <c r="A356" s="458" t="s">
        <v>651</v>
      </c>
      <c r="B356" s="454" t="s">
        <v>147</v>
      </c>
      <c r="C356" s="459">
        <v>12</v>
      </c>
      <c r="D356" s="542">
        <v>6.1199999999999997E-2</v>
      </c>
      <c r="E356" s="499">
        <v>32572</v>
      </c>
      <c r="F356" s="456">
        <f t="shared" si="112"/>
        <v>32572</v>
      </c>
      <c r="G356" s="456">
        <f t="shared" si="113"/>
        <v>34565.4064</v>
      </c>
      <c r="H356" s="492">
        <f t="shared" si="114"/>
        <v>35602.368591999999</v>
      </c>
      <c r="I356" s="456">
        <f t="shared" si="115"/>
        <v>2966.8640493333332</v>
      </c>
      <c r="J356" s="489"/>
      <c r="K356"/>
      <c r="L356" s="445"/>
      <c r="M356" s="445"/>
      <c r="N356" s="445"/>
      <c r="O356" s="445"/>
      <c r="P356" s="445"/>
      <c r="Q356" s="445"/>
      <c r="R356" s="445"/>
      <c r="S356" s="445"/>
      <c r="T356" s="445"/>
      <c r="U356" s="445"/>
      <c r="V356" s="445"/>
      <c r="W356" s="445"/>
      <c r="X356" s="445"/>
      <c r="Y356" s="445"/>
      <c r="Z356" s="445"/>
      <c r="AA356" s="445"/>
      <c r="AB356" s="445"/>
      <c r="AC356" s="445"/>
      <c r="AD356" s="445"/>
      <c r="AE356" s="445"/>
      <c r="AF356" s="445"/>
      <c r="AG356" s="445"/>
      <c r="AH356" s="445"/>
      <c r="AI356" s="445"/>
      <c r="AJ356" s="445"/>
      <c r="AK356" s="445"/>
      <c r="AL356" s="445"/>
      <c r="AM356" s="445"/>
      <c r="AN356" s="445"/>
      <c r="AO356" s="445"/>
      <c r="AP356" s="445"/>
      <c r="AQ356" s="445"/>
      <c r="AR356" s="445"/>
      <c r="AS356" s="445"/>
      <c r="AT356" s="445"/>
      <c r="AU356" s="445"/>
      <c r="AV356" s="445"/>
      <c r="AW356" s="445"/>
      <c r="AX356" s="445"/>
      <c r="AY356" s="445"/>
      <c r="AZ356" s="445"/>
      <c r="BA356" s="445"/>
      <c r="BB356" s="445"/>
      <c r="BC356" s="445"/>
      <c r="BD356" s="445"/>
      <c r="BE356" s="445"/>
      <c r="BF356" s="445"/>
      <c r="BG356" s="445"/>
      <c r="BH356" s="445"/>
      <c r="BI356" s="445"/>
      <c r="BJ356" s="445"/>
      <c r="BK356" s="445"/>
      <c r="BL356" s="445"/>
      <c r="BM356" s="445"/>
      <c r="BN356" s="445"/>
      <c r="BO356" s="445"/>
      <c r="BP356" s="445"/>
      <c r="BQ356" s="445"/>
      <c r="BR356" s="445"/>
      <c r="BS356" s="445"/>
      <c r="BT356" s="445"/>
      <c r="BU356" s="445"/>
      <c r="BV356" s="445"/>
      <c r="BW356" s="445"/>
      <c r="BX356" s="445"/>
      <c r="BY356" s="445"/>
      <c r="BZ356" s="445"/>
      <c r="CA356" s="445"/>
      <c r="CB356" s="445"/>
      <c r="CC356" s="445"/>
      <c r="CD356" s="445"/>
      <c r="CE356" s="445"/>
      <c r="CF356" s="445"/>
      <c r="CG356" s="445"/>
      <c r="CH356" s="445"/>
      <c r="CI356" s="445"/>
      <c r="CJ356" s="445"/>
      <c r="CK356" s="445"/>
      <c r="CL356" s="445"/>
      <c r="CM356" s="445"/>
      <c r="CN356" s="445"/>
      <c r="CO356" s="445"/>
      <c r="CP356" s="445"/>
      <c r="CQ356" s="445"/>
      <c r="CR356" s="445"/>
      <c r="CS356" s="445"/>
      <c r="CT356" s="445"/>
      <c r="CU356" s="445"/>
      <c r="CV356" s="445"/>
      <c r="CW356" s="445"/>
      <c r="CX356" s="445"/>
      <c r="CY356" s="445"/>
      <c r="CZ356" s="445"/>
      <c r="DA356" s="445"/>
      <c r="DB356" s="445"/>
      <c r="DC356" s="445"/>
      <c r="DD356" s="445"/>
      <c r="DE356" s="445"/>
      <c r="DF356" s="445"/>
      <c r="DG356" s="445"/>
      <c r="DH356" s="445"/>
      <c r="DI356" s="445"/>
      <c r="DJ356" s="445"/>
      <c r="DK356" s="445"/>
      <c r="DL356" s="445"/>
      <c r="DM356" s="445"/>
      <c r="DN356" s="445"/>
      <c r="DO356" s="445"/>
      <c r="DP356" s="445"/>
      <c r="DQ356" s="445"/>
      <c r="DR356" s="445"/>
      <c r="DS356" s="445"/>
      <c r="DT356" s="445"/>
      <c r="DU356" s="445"/>
      <c r="DV356" s="445"/>
      <c r="DW356" s="445"/>
      <c r="DX356" s="445"/>
      <c r="DY356" s="445"/>
      <c r="DZ356" s="445"/>
      <c r="EA356" s="445"/>
      <c r="EB356" s="445"/>
      <c r="EC356" s="445"/>
      <c r="ED356" s="445"/>
      <c r="EE356" s="445"/>
      <c r="EF356" s="445"/>
      <c r="EG356" s="445"/>
      <c r="EH356" s="445"/>
      <c r="EI356" s="445"/>
      <c r="EJ356" s="445"/>
      <c r="EK356" s="445"/>
      <c r="EL356" s="445"/>
      <c r="EM356" s="445"/>
      <c r="EN356" s="445"/>
      <c r="EO356" s="445"/>
      <c r="EP356" s="445"/>
      <c r="EQ356" s="445"/>
      <c r="ER356" s="445"/>
      <c r="ES356" s="445"/>
      <c r="ET356" s="445"/>
      <c r="EU356" s="445"/>
      <c r="EV356" s="445"/>
      <c r="EW356" s="445"/>
      <c r="EX356" s="445"/>
      <c r="EY356" s="445"/>
      <c r="EZ356" s="445"/>
      <c r="FA356" s="445"/>
      <c r="FB356" s="445"/>
      <c r="FC356" s="445"/>
      <c r="FD356" s="445"/>
      <c r="FE356" s="445"/>
      <c r="FF356" s="445"/>
      <c r="FG356" s="445"/>
      <c r="FH356" s="445"/>
      <c r="FI356" s="445"/>
      <c r="FJ356" s="445"/>
      <c r="FK356" s="445"/>
      <c r="FL356" s="445"/>
      <c r="FM356" s="445"/>
      <c r="FN356" s="445"/>
      <c r="FO356" s="445"/>
      <c r="FP356" s="445"/>
    </row>
    <row r="357" spans="1:172" s="453" customFormat="1" x14ac:dyDescent="0.3">
      <c r="A357" s="458" t="s">
        <v>652</v>
      </c>
      <c r="B357" s="454" t="s">
        <v>147</v>
      </c>
      <c r="C357" s="459">
        <v>12</v>
      </c>
      <c r="D357" s="542">
        <v>6.1199999999999997E-2</v>
      </c>
      <c r="E357" s="499">
        <v>50000</v>
      </c>
      <c r="F357" s="456">
        <f t="shared" si="112"/>
        <v>50000</v>
      </c>
      <c r="G357" s="456">
        <f t="shared" si="113"/>
        <v>53060</v>
      </c>
      <c r="H357" s="492">
        <f t="shared" si="114"/>
        <v>54651.8</v>
      </c>
      <c r="I357" s="456">
        <f t="shared" si="115"/>
        <v>4554.3166666666666</v>
      </c>
      <c r="J357" s="489"/>
      <c r="K357"/>
      <c r="L357" s="445"/>
      <c r="M357" s="445"/>
      <c r="N357" s="445"/>
      <c r="O357" s="445"/>
      <c r="P357" s="445"/>
      <c r="Q357" s="445"/>
      <c r="R357" s="445"/>
      <c r="S357" s="445"/>
      <c r="T357" s="445"/>
      <c r="U357" s="445"/>
      <c r="V357" s="445"/>
      <c r="W357" s="445"/>
      <c r="X357" s="445"/>
      <c r="Y357" s="445"/>
      <c r="Z357" s="445"/>
      <c r="AA357" s="445"/>
      <c r="AB357" s="445"/>
      <c r="AC357" s="445"/>
      <c r="AD357" s="445"/>
      <c r="AE357" s="445"/>
      <c r="AF357" s="445"/>
      <c r="AG357" s="445"/>
      <c r="AH357" s="445"/>
      <c r="AI357" s="445"/>
      <c r="AJ357" s="445"/>
      <c r="AK357" s="445"/>
      <c r="AL357" s="445"/>
      <c r="AM357" s="445"/>
      <c r="AN357" s="445"/>
      <c r="AO357" s="445"/>
      <c r="AP357" s="445"/>
      <c r="AQ357" s="445"/>
      <c r="AR357" s="445"/>
      <c r="AS357" s="445"/>
      <c r="AT357" s="445"/>
      <c r="AU357" s="445"/>
      <c r="AV357" s="445"/>
      <c r="AW357" s="445"/>
      <c r="AX357" s="445"/>
      <c r="AY357" s="445"/>
      <c r="AZ357" s="445"/>
      <c r="BA357" s="445"/>
      <c r="BB357" s="445"/>
      <c r="BC357" s="445"/>
      <c r="BD357" s="445"/>
      <c r="BE357" s="445"/>
      <c r="BF357" s="445"/>
      <c r="BG357" s="445"/>
      <c r="BH357" s="445"/>
      <c r="BI357" s="445"/>
      <c r="BJ357" s="445"/>
      <c r="BK357" s="445"/>
      <c r="BL357" s="445"/>
      <c r="BM357" s="445"/>
      <c r="BN357" s="445"/>
      <c r="BO357" s="445"/>
      <c r="BP357" s="445"/>
      <c r="BQ357" s="445"/>
      <c r="BR357" s="445"/>
      <c r="BS357" s="445"/>
      <c r="BT357" s="445"/>
      <c r="BU357" s="445"/>
      <c r="BV357" s="445"/>
      <c r="BW357" s="445"/>
      <c r="BX357" s="445"/>
      <c r="BY357" s="445"/>
      <c r="BZ357" s="445"/>
      <c r="CA357" s="445"/>
      <c r="CB357" s="445"/>
      <c r="CC357" s="445"/>
      <c r="CD357" s="445"/>
      <c r="CE357" s="445"/>
      <c r="CF357" s="445"/>
      <c r="CG357" s="445"/>
      <c r="CH357" s="445"/>
      <c r="CI357" s="445"/>
      <c r="CJ357" s="445"/>
      <c r="CK357" s="445"/>
      <c r="CL357" s="445"/>
      <c r="CM357" s="445"/>
      <c r="CN357" s="445"/>
      <c r="CO357" s="445"/>
      <c r="CP357" s="445"/>
      <c r="CQ357" s="445"/>
      <c r="CR357" s="445"/>
      <c r="CS357" s="445"/>
      <c r="CT357" s="445"/>
      <c r="CU357" s="445"/>
      <c r="CV357" s="445"/>
      <c r="CW357" s="445"/>
      <c r="CX357" s="445"/>
      <c r="CY357" s="445"/>
      <c r="CZ357" s="445"/>
      <c r="DA357" s="445"/>
      <c r="DB357" s="445"/>
      <c r="DC357" s="445"/>
      <c r="DD357" s="445"/>
      <c r="DE357" s="445"/>
      <c r="DF357" s="445"/>
      <c r="DG357" s="445"/>
      <c r="DH357" s="445"/>
      <c r="DI357" s="445"/>
      <c r="DJ357" s="445"/>
      <c r="DK357" s="445"/>
      <c r="DL357" s="445"/>
      <c r="DM357" s="445"/>
      <c r="DN357" s="445"/>
      <c r="DO357" s="445"/>
      <c r="DP357" s="445"/>
      <c r="DQ357" s="445"/>
      <c r="DR357" s="445"/>
      <c r="DS357" s="445"/>
      <c r="DT357" s="445"/>
      <c r="DU357" s="445"/>
      <c r="DV357" s="445"/>
      <c r="DW357" s="445"/>
      <c r="DX357" s="445"/>
      <c r="DY357" s="445"/>
      <c r="DZ357" s="445"/>
      <c r="EA357" s="445"/>
      <c r="EB357" s="445"/>
      <c r="EC357" s="445"/>
      <c r="ED357" s="445"/>
      <c r="EE357" s="445"/>
      <c r="EF357" s="445"/>
      <c r="EG357" s="445"/>
      <c r="EH357" s="445"/>
      <c r="EI357" s="445"/>
      <c r="EJ357" s="445"/>
      <c r="EK357" s="445"/>
      <c r="EL357" s="445"/>
      <c r="EM357" s="445"/>
      <c r="EN357" s="445"/>
      <c r="EO357" s="445"/>
      <c r="EP357" s="445"/>
      <c r="EQ357" s="445"/>
      <c r="ER357" s="445"/>
      <c r="ES357" s="445"/>
      <c r="ET357" s="445"/>
      <c r="EU357" s="445"/>
      <c r="EV357" s="445"/>
      <c r="EW357" s="445"/>
      <c r="EX357" s="445"/>
      <c r="EY357" s="445"/>
      <c r="EZ357" s="445"/>
      <c r="FA357" s="445"/>
      <c r="FB357" s="445"/>
      <c r="FC357" s="445"/>
      <c r="FD357" s="445"/>
      <c r="FE357" s="445"/>
      <c r="FF357" s="445"/>
      <c r="FG357" s="445"/>
      <c r="FH357" s="445"/>
      <c r="FI357" s="445"/>
      <c r="FJ357" s="445"/>
      <c r="FK357" s="445"/>
      <c r="FL357" s="445"/>
      <c r="FM357" s="445"/>
      <c r="FN357" s="445"/>
      <c r="FO357" s="445"/>
      <c r="FP357" s="445"/>
    </row>
    <row r="358" spans="1:172" s="453" customFormat="1" x14ac:dyDescent="0.3">
      <c r="A358" s="458" t="s">
        <v>653</v>
      </c>
      <c r="B358" s="454" t="s">
        <v>147</v>
      </c>
      <c r="C358" s="459">
        <v>12</v>
      </c>
      <c r="D358" s="542">
        <v>6.1199999999999997E-2</v>
      </c>
      <c r="E358" s="499">
        <v>47573.760000000002</v>
      </c>
      <c r="F358" s="456">
        <f t="shared" si="112"/>
        <v>47573.760000000002</v>
      </c>
      <c r="G358" s="456">
        <f t="shared" si="113"/>
        <v>50485.274111999999</v>
      </c>
      <c r="H358" s="492">
        <f t="shared" si="114"/>
        <v>51999.832335359999</v>
      </c>
      <c r="I358" s="456">
        <f t="shared" si="115"/>
        <v>4333.3193612799996</v>
      </c>
      <c r="J358" s="489"/>
      <c r="K358"/>
      <c r="L358" s="445"/>
      <c r="M358" s="445"/>
      <c r="N358" s="445"/>
      <c r="O358" s="445"/>
      <c r="P358" s="445"/>
      <c r="Q358" s="445"/>
      <c r="R358" s="445"/>
      <c r="S358" s="445"/>
      <c r="T358" s="445"/>
      <c r="U358" s="445"/>
      <c r="V358" s="445"/>
      <c r="W358" s="445"/>
      <c r="X358" s="445"/>
      <c r="Y358" s="445"/>
      <c r="Z358" s="445"/>
      <c r="AA358" s="445"/>
      <c r="AB358" s="445"/>
      <c r="AC358" s="445"/>
      <c r="AD358" s="445"/>
      <c r="AE358" s="445"/>
      <c r="AF358" s="445"/>
      <c r="AG358" s="445"/>
      <c r="AH358" s="445"/>
      <c r="AI358" s="445"/>
      <c r="AJ358" s="445"/>
      <c r="AK358" s="445"/>
      <c r="AL358" s="445"/>
      <c r="AM358" s="445"/>
      <c r="AN358" s="445"/>
      <c r="AO358" s="445"/>
      <c r="AP358" s="445"/>
      <c r="AQ358" s="445"/>
      <c r="AR358" s="445"/>
      <c r="AS358" s="445"/>
      <c r="AT358" s="445"/>
      <c r="AU358" s="445"/>
      <c r="AV358" s="445"/>
      <c r="AW358" s="445"/>
      <c r="AX358" s="445"/>
      <c r="AY358" s="445"/>
      <c r="AZ358" s="445"/>
      <c r="BA358" s="445"/>
      <c r="BB358" s="445"/>
      <c r="BC358" s="445"/>
      <c r="BD358" s="445"/>
      <c r="BE358" s="445"/>
      <c r="BF358" s="445"/>
      <c r="BG358" s="445"/>
      <c r="BH358" s="445"/>
      <c r="BI358" s="445"/>
      <c r="BJ358" s="445"/>
      <c r="BK358" s="445"/>
      <c r="BL358" s="445"/>
      <c r="BM358" s="445"/>
      <c r="BN358" s="445"/>
      <c r="BO358" s="445"/>
      <c r="BP358" s="445"/>
      <c r="BQ358" s="445"/>
      <c r="BR358" s="445"/>
      <c r="BS358" s="445"/>
      <c r="BT358" s="445"/>
      <c r="BU358" s="445"/>
      <c r="BV358" s="445"/>
      <c r="BW358" s="445"/>
      <c r="BX358" s="445"/>
      <c r="BY358" s="445"/>
      <c r="BZ358" s="445"/>
      <c r="CA358" s="445"/>
      <c r="CB358" s="445"/>
      <c r="CC358" s="445"/>
      <c r="CD358" s="445"/>
      <c r="CE358" s="445"/>
      <c r="CF358" s="445"/>
      <c r="CG358" s="445"/>
      <c r="CH358" s="445"/>
      <c r="CI358" s="445"/>
      <c r="CJ358" s="445"/>
      <c r="CK358" s="445"/>
      <c r="CL358" s="445"/>
      <c r="CM358" s="445"/>
      <c r="CN358" s="445"/>
      <c r="CO358" s="445"/>
      <c r="CP358" s="445"/>
      <c r="CQ358" s="445"/>
      <c r="CR358" s="445"/>
      <c r="CS358" s="445"/>
      <c r="CT358" s="445"/>
      <c r="CU358" s="445"/>
      <c r="CV358" s="445"/>
      <c r="CW358" s="445"/>
      <c r="CX358" s="445"/>
      <c r="CY358" s="445"/>
      <c r="CZ358" s="445"/>
      <c r="DA358" s="445"/>
      <c r="DB358" s="445"/>
      <c r="DC358" s="445"/>
      <c r="DD358" s="445"/>
      <c r="DE358" s="445"/>
      <c r="DF358" s="445"/>
      <c r="DG358" s="445"/>
      <c r="DH358" s="445"/>
      <c r="DI358" s="445"/>
      <c r="DJ358" s="445"/>
      <c r="DK358" s="445"/>
      <c r="DL358" s="445"/>
      <c r="DM358" s="445"/>
      <c r="DN358" s="445"/>
      <c r="DO358" s="445"/>
      <c r="DP358" s="445"/>
      <c r="DQ358" s="445"/>
      <c r="DR358" s="445"/>
      <c r="DS358" s="445"/>
      <c r="DT358" s="445"/>
      <c r="DU358" s="445"/>
      <c r="DV358" s="445"/>
      <c r="DW358" s="445"/>
      <c r="DX358" s="445"/>
      <c r="DY358" s="445"/>
      <c r="DZ358" s="445"/>
      <c r="EA358" s="445"/>
      <c r="EB358" s="445"/>
      <c r="EC358" s="445"/>
      <c r="ED358" s="445"/>
      <c r="EE358" s="445"/>
      <c r="EF358" s="445"/>
      <c r="EG358" s="445"/>
      <c r="EH358" s="445"/>
      <c r="EI358" s="445"/>
      <c r="EJ358" s="445"/>
      <c r="EK358" s="445"/>
      <c r="EL358" s="445"/>
      <c r="EM358" s="445"/>
      <c r="EN358" s="445"/>
      <c r="EO358" s="445"/>
      <c r="EP358" s="445"/>
      <c r="EQ358" s="445"/>
      <c r="ER358" s="445"/>
      <c r="ES358" s="445"/>
      <c r="ET358" s="445"/>
      <c r="EU358" s="445"/>
      <c r="EV358" s="445"/>
      <c r="EW358" s="445"/>
      <c r="EX358" s="445"/>
      <c r="EY358" s="445"/>
      <c r="EZ358" s="445"/>
      <c r="FA358" s="445"/>
      <c r="FB358" s="445"/>
      <c r="FC358" s="445"/>
      <c r="FD358" s="445"/>
      <c r="FE358" s="445"/>
      <c r="FF358" s="445"/>
      <c r="FG358" s="445"/>
      <c r="FH358" s="445"/>
      <c r="FI358" s="445"/>
      <c r="FJ358" s="445"/>
      <c r="FK358" s="445"/>
      <c r="FL358" s="445"/>
      <c r="FM358" s="445"/>
      <c r="FN358" s="445"/>
      <c r="FO358" s="445"/>
      <c r="FP358" s="445"/>
    </row>
    <row r="359" spans="1:172" s="453" customFormat="1" x14ac:dyDescent="0.3">
      <c r="A359" s="458" t="s">
        <v>242</v>
      </c>
      <c r="B359" s="454" t="s">
        <v>147</v>
      </c>
      <c r="C359" s="459">
        <v>12</v>
      </c>
      <c r="D359" s="542">
        <v>6.1199999999999997E-2</v>
      </c>
      <c r="E359" s="499">
        <v>48468.160000000003</v>
      </c>
      <c r="F359" s="456">
        <f t="shared" si="112"/>
        <v>48468.160000000003</v>
      </c>
      <c r="G359" s="456">
        <f t="shared" si="113"/>
        <v>51434.411392000002</v>
      </c>
      <c r="H359" s="492">
        <f t="shared" ref="H359" si="116">G359*(1+COLA/100)</f>
        <v>52977.443733760003</v>
      </c>
      <c r="I359" s="456">
        <f t="shared" si="115"/>
        <v>4414.7869778133336</v>
      </c>
      <c r="J359" s="489"/>
      <c r="K359"/>
      <c r="L359" s="445"/>
      <c r="M359" s="445"/>
      <c r="N359" s="445"/>
      <c r="O359" s="445"/>
      <c r="P359" s="445"/>
      <c r="Q359" s="445"/>
      <c r="R359" s="445"/>
      <c r="S359" s="445"/>
      <c r="T359" s="445"/>
      <c r="U359" s="445"/>
      <c r="V359" s="445"/>
      <c r="W359" s="445"/>
      <c r="X359" s="445"/>
      <c r="Y359" s="445"/>
      <c r="Z359" s="445"/>
      <c r="AA359" s="445"/>
      <c r="AB359" s="445"/>
      <c r="AC359" s="445"/>
      <c r="AD359" s="445"/>
      <c r="AE359" s="445"/>
      <c r="AF359" s="445"/>
      <c r="AG359" s="445"/>
      <c r="AH359" s="445"/>
      <c r="AI359" s="445"/>
      <c r="AJ359" s="445"/>
      <c r="AK359" s="445"/>
      <c r="AL359" s="445"/>
      <c r="AM359" s="445"/>
      <c r="AN359" s="445"/>
      <c r="AO359" s="445"/>
      <c r="AP359" s="445"/>
      <c r="AQ359" s="445"/>
      <c r="AR359" s="445"/>
      <c r="AS359" s="445"/>
      <c r="AT359" s="445"/>
      <c r="AU359" s="445"/>
      <c r="AV359" s="445"/>
      <c r="AW359" s="445"/>
      <c r="AX359" s="445"/>
      <c r="AY359" s="445"/>
      <c r="AZ359" s="445"/>
      <c r="BA359" s="445"/>
      <c r="BB359" s="445"/>
      <c r="BC359" s="445"/>
      <c r="BD359" s="445"/>
      <c r="BE359" s="445"/>
      <c r="BF359" s="445"/>
      <c r="BG359" s="445"/>
      <c r="BH359" s="445"/>
      <c r="BI359" s="445"/>
      <c r="BJ359" s="445"/>
      <c r="BK359" s="445"/>
      <c r="BL359" s="445"/>
      <c r="BM359" s="445"/>
      <c r="BN359" s="445"/>
      <c r="BO359" s="445"/>
      <c r="BP359" s="445"/>
      <c r="BQ359" s="445"/>
      <c r="BR359" s="445"/>
      <c r="BS359" s="445"/>
      <c r="BT359" s="445"/>
      <c r="BU359" s="445"/>
      <c r="BV359" s="445"/>
      <c r="BW359" s="445"/>
      <c r="BX359" s="445"/>
      <c r="BY359" s="445"/>
      <c r="BZ359" s="445"/>
      <c r="CA359" s="445"/>
      <c r="CB359" s="445"/>
      <c r="CC359" s="445"/>
      <c r="CD359" s="445"/>
      <c r="CE359" s="445"/>
      <c r="CF359" s="445"/>
      <c r="CG359" s="445"/>
      <c r="CH359" s="445"/>
      <c r="CI359" s="445"/>
      <c r="CJ359" s="445"/>
      <c r="CK359" s="445"/>
      <c r="CL359" s="445"/>
      <c r="CM359" s="445"/>
      <c r="CN359" s="445"/>
      <c r="CO359" s="445"/>
      <c r="CP359" s="445"/>
      <c r="CQ359" s="445"/>
      <c r="CR359" s="445"/>
      <c r="CS359" s="445"/>
      <c r="CT359" s="445"/>
      <c r="CU359" s="445"/>
      <c r="CV359" s="445"/>
      <c r="CW359" s="445"/>
      <c r="CX359" s="445"/>
      <c r="CY359" s="445"/>
      <c r="CZ359" s="445"/>
      <c r="DA359" s="445"/>
      <c r="DB359" s="445"/>
      <c r="DC359" s="445"/>
      <c r="DD359" s="445"/>
      <c r="DE359" s="445"/>
      <c r="DF359" s="445"/>
      <c r="DG359" s="445"/>
      <c r="DH359" s="445"/>
      <c r="DI359" s="445"/>
      <c r="DJ359" s="445"/>
      <c r="DK359" s="445"/>
      <c r="DL359" s="445"/>
      <c r="DM359" s="445"/>
      <c r="DN359" s="445"/>
      <c r="DO359" s="445"/>
      <c r="DP359" s="445"/>
      <c r="DQ359" s="445"/>
      <c r="DR359" s="445"/>
      <c r="DS359" s="445"/>
      <c r="DT359" s="445"/>
      <c r="DU359" s="445"/>
      <c r="DV359" s="445"/>
      <c r="DW359" s="445"/>
      <c r="DX359" s="445"/>
      <c r="DY359" s="445"/>
      <c r="DZ359" s="445"/>
      <c r="EA359" s="445"/>
      <c r="EB359" s="445"/>
      <c r="EC359" s="445"/>
      <c r="ED359" s="445"/>
      <c r="EE359" s="445"/>
      <c r="EF359" s="445"/>
      <c r="EG359" s="445"/>
      <c r="EH359" s="445"/>
      <c r="EI359" s="445"/>
      <c r="EJ359" s="445"/>
      <c r="EK359" s="445"/>
      <c r="EL359" s="445"/>
      <c r="EM359" s="445"/>
      <c r="EN359" s="445"/>
      <c r="EO359" s="445"/>
      <c r="EP359" s="445"/>
      <c r="EQ359" s="445"/>
      <c r="ER359" s="445"/>
      <c r="ES359" s="445"/>
      <c r="ET359" s="445"/>
      <c r="EU359" s="445"/>
      <c r="EV359" s="445"/>
      <c r="EW359" s="445"/>
      <c r="EX359" s="445"/>
      <c r="EY359" s="445"/>
      <c r="EZ359" s="445"/>
      <c r="FA359" s="445"/>
      <c r="FB359" s="445"/>
      <c r="FC359" s="445"/>
      <c r="FD359" s="445"/>
      <c r="FE359" s="445"/>
      <c r="FF359" s="445"/>
      <c r="FG359" s="445"/>
      <c r="FH359" s="445"/>
      <c r="FI359" s="445"/>
      <c r="FJ359" s="445"/>
      <c r="FK359" s="445"/>
      <c r="FL359" s="445"/>
      <c r="FM359" s="445"/>
      <c r="FN359" s="445"/>
      <c r="FO359" s="445"/>
      <c r="FP359" s="445"/>
    </row>
    <row r="360" spans="1:172" s="453" customFormat="1" x14ac:dyDescent="0.3">
      <c r="A360" s="458" t="s">
        <v>654</v>
      </c>
      <c r="B360" s="454" t="s">
        <v>147</v>
      </c>
      <c r="C360" s="459">
        <v>12</v>
      </c>
      <c r="D360" s="542">
        <v>6.1199999999999997E-2</v>
      </c>
      <c r="E360" s="499">
        <v>52000</v>
      </c>
      <c r="F360" s="456">
        <f t="shared" ref="F360" si="117">(E360/C360)*12</f>
        <v>52000</v>
      </c>
      <c r="G360" s="456">
        <f t="shared" ref="G360" si="118">F360+F360*D360</f>
        <v>55182.400000000001</v>
      </c>
      <c r="H360" s="492">
        <f t="shared" ref="H360" si="119">G360*(1+COLA/100)</f>
        <v>56837.872000000003</v>
      </c>
      <c r="I360" s="456">
        <f t="shared" ref="I360" si="120">H360/12</f>
        <v>4736.4893333333339</v>
      </c>
      <c r="J360" s="489"/>
      <c r="K360"/>
      <c r="L360" s="445"/>
      <c r="M360" s="445"/>
      <c r="N360" s="445"/>
      <c r="O360" s="445"/>
      <c r="P360" s="445"/>
      <c r="Q360" s="445"/>
      <c r="R360" s="445"/>
      <c r="S360" s="445"/>
      <c r="T360" s="445"/>
      <c r="U360" s="445"/>
      <c r="V360" s="445"/>
      <c r="W360" s="445"/>
      <c r="X360" s="445"/>
      <c r="Y360" s="445"/>
      <c r="Z360" s="445"/>
      <c r="AA360" s="445"/>
      <c r="AB360" s="445"/>
      <c r="AC360" s="445"/>
      <c r="AD360" s="445"/>
      <c r="AE360" s="445"/>
      <c r="AF360" s="445"/>
      <c r="AG360" s="445"/>
      <c r="AH360" s="445"/>
      <c r="AI360" s="445"/>
      <c r="AJ360" s="445"/>
      <c r="AK360" s="445"/>
      <c r="AL360" s="445"/>
      <c r="AM360" s="445"/>
      <c r="AN360" s="445"/>
      <c r="AO360" s="445"/>
      <c r="AP360" s="445"/>
      <c r="AQ360" s="445"/>
      <c r="AR360" s="445"/>
      <c r="AS360" s="445"/>
      <c r="AT360" s="445"/>
      <c r="AU360" s="445"/>
      <c r="AV360" s="445"/>
      <c r="AW360" s="445"/>
      <c r="AX360" s="445"/>
      <c r="AY360" s="445"/>
      <c r="AZ360" s="445"/>
      <c r="BA360" s="445"/>
      <c r="BB360" s="445"/>
      <c r="BC360" s="445"/>
      <c r="BD360" s="445"/>
      <c r="BE360" s="445"/>
      <c r="BF360" s="445"/>
      <c r="BG360" s="445"/>
      <c r="BH360" s="445"/>
      <c r="BI360" s="445"/>
      <c r="BJ360" s="445"/>
      <c r="BK360" s="445"/>
      <c r="BL360" s="445"/>
      <c r="BM360" s="445"/>
      <c r="BN360" s="445"/>
      <c r="BO360" s="445"/>
      <c r="BP360" s="445"/>
      <c r="BQ360" s="445"/>
      <c r="BR360" s="445"/>
      <c r="BS360" s="445"/>
      <c r="BT360" s="445"/>
      <c r="BU360" s="445"/>
      <c r="BV360" s="445"/>
      <c r="BW360" s="445"/>
      <c r="BX360" s="445"/>
      <c r="BY360" s="445"/>
      <c r="BZ360" s="445"/>
      <c r="CA360" s="445"/>
      <c r="CB360" s="445"/>
      <c r="CC360" s="445"/>
      <c r="CD360" s="445"/>
      <c r="CE360" s="445"/>
      <c r="CF360" s="445"/>
      <c r="CG360" s="445"/>
      <c r="CH360" s="445"/>
      <c r="CI360" s="445"/>
      <c r="CJ360" s="445"/>
      <c r="CK360" s="445"/>
      <c r="CL360" s="445"/>
      <c r="CM360" s="445"/>
      <c r="CN360" s="445"/>
      <c r="CO360" s="445"/>
      <c r="CP360" s="445"/>
      <c r="CQ360" s="445"/>
      <c r="CR360" s="445"/>
      <c r="CS360" s="445"/>
      <c r="CT360" s="445"/>
      <c r="CU360" s="445"/>
      <c r="CV360" s="445"/>
      <c r="CW360" s="445"/>
      <c r="CX360" s="445"/>
      <c r="CY360" s="445"/>
      <c r="CZ360" s="445"/>
      <c r="DA360" s="445"/>
      <c r="DB360" s="445"/>
      <c r="DC360" s="445"/>
      <c r="DD360" s="445"/>
      <c r="DE360" s="445"/>
      <c r="DF360" s="445"/>
      <c r="DG360" s="445"/>
      <c r="DH360" s="445"/>
      <c r="DI360" s="445"/>
      <c r="DJ360" s="445"/>
      <c r="DK360" s="445"/>
      <c r="DL360" s="445"/>
      <c r="DM360" s="445"/>
      <c r="DN360" s="445"/>
      <c r="DO360" s="445"/>
      <c r="DP360" s="445"/>
      <c r="DQ360" s="445"/>
      <c r="DR360" s="445"/>
      <c r="DS360" s="445"/>
      <c r="DT360" s="445"/>
      <c r="DU360" s="445"/>
      <c r="DV360" s="445"/>
      <c r="DW360" s="445"/>
      <c r="DX360" s="445"/>
      <c r="DY360" s="445"/>
      <c r="DZ360" s="445"/>
      <c r="EA360" s="445"/>
      <c r="EB360" s="445"/>
      <c r="EC360" s="445"/>
      <c r="ED360" s="445"/>
      <c r="EE360" s="445"/>
      <c r="EF360" s="445"/>
      <c r="EG360" s="445"/>
      <c r="EH360" s="445"/>
      <c r="EI360" s="445"/>
      <c r="EJ360" s="445"/>
      <c r="EK360" s="445"/>
      <c r="EL360" s="445"/>
      <c r="EM360" s="445"/>
      <c r="EN360" s="445"/>
      <c r="EO360" s="445"/>
      <c r="EP360" s="445"/>
      <c r="EQ360" s="445"/>
      <c r="ER360" s="445"/>
      <c r="ES360" s="445"/>
      <c r="ET360" s="445"/>
      <c r="EU360" s="445"/>
      <c r="EV360" s="445"/>
      <c r="EW360" s="445"/>
      <c r="EX360" s="445"/>
      <c r="EY360" s="445"/>
      <c r="EZ360" s="445"/>
      <c r="FA360" s="445"/>
      <c r="FB360" s="445"/>
      <c r="FC360" s="445"/>
      <c r="FD360" s="445"/>
      <c r="FE360" s="445"/>
      <c r="FF360" s="445"/>
      <c r="FG360" s="445"/>
      <c r="FH360" s="445"/>
      <c r="FI360" s="445"/>
      <c r="FJ360" s="445"/>
      <c r="FK360" s="445"/>
      <c r="FL360" s="445"/>
      <c r="FM360" s="445"/>
      <c r="FN360" s="445"/>
      <c r="FO360" s="445"/>
      <c r="FP360" s="445"/>
    </row>
    <row r="361" spans="1:172" s="453" customFormat="1" x14ac:dyDescent="0.3">
      <c r="A361" s="458" t="s">
        <v>655</v>
      </c>
      <c r="B361" s="454" t="s">
        <v>147</v>
      </c>
      <c r="C361" s="459">
        <v>12</v>
      </c>
      <c r="D361" s="542">
        <v>6.1199999999999997E-2</v>
      </c>
      <c r="E361" s="499">
        <v>44720</v>
      </c>
      <c r="F361" s="456">
        <f t="shared" si="112"/>
        <v>44720</v>
      </c>
      <c r="G361" s="456">
        <f t="shared" si="113"/>
        <v>47456.864000000001</v>
      </c>
      <c r="H361" s="492">
        <f t="shared" ref="H361:H362" si="121">G361*(1+COLA/100)</f>
        <v>48880.569920000002</v>
      </c>
      <c r="I361" s="456">
        <f t="shared" si="115"/>
        <v>4073.380826666667</v>
      </c>
      <c r="J361" s="489"/>
      <c r="K361"/>
      <c r="L361" s="445"/>
      <c r="M361" s="445"/>
      <c r="N361" s="445"/>
      <c r="O361" s="445"/>
      <c r="P361" s="445"/>
      <c r="Q361" s="445"/>
      <c r="R361" s="445"/>
      <c r="S361" s="445"/>
      <c r="T361" s="445"/>
      <c r="U361" s="445"/>
      <c r="V361" s="445"/>
      <c r="W361" s="445"/>
      <c r="X361" s="445"/>
      <c r="Y361" s="445"/>
      <c r="Z361" s="445"/>
      <c r="AA361" s="445"/>
      <c r="AB361" s="445"/>
      <c r="AC361" s="445"/>
      <c r="AD361" s="445"/>
      <c r="AE361" s="445"/>
      <c r="AF361" s="445"/>
      <c r="AG361" s="445"/>
      <c r="AH361" s="445"/>
      <c r="AI361" s="445"/>
      <c r="AJ361" s="445"/>
      <c r="AK361" s="445"/>
      <c r="AL361" s="445"/>
      <c r="AM361" s="445"/>
      <c r="AN361" s="445"/>
      <c r="AO361" s="445"/>
      <c r="AP361" s="445"/>
      <c r="AQ361" s="445"/>
      <c r="AR361" s="445"/>
      <c r="AS361" s="445"/>
      <c r="AT361" s="445"/>
      <c r="AU361" s="445"/>
      <c r="AV361" s="445"/>
      <c r="AW361" s="445"/>
      <c r="AX361" s="445"/>
      <c r="AY361" s="445"/>
      <c r="AZ361" s="445"/>
      <c r="BA361" s="445"/>
      <c r="BB361" s="445"/>
      <c r="BC361" s="445"/>
      <c r="BD361" s="445"/>
      <c r="BE361" s="445"/>
      <c r="BF361" s="445"/>
      <c r="BG361" s="445"/>
      <c r="BH361" s="445"/>
      <c r="BI361" s="445"/>
      <c r="BJ361" s="445"/>
      <c r="BK361" s="445"/>
      <c r="BL361" s="445"/>
      <c r="BM361" s="445"/>
      <c r="BN361" s="445"/>
      <c r="BO361" s="445"/>
      <c r="BP361" s="445"/>
      <c r="BQ361" s="445"/>
      <c r="BR361" s="445"/>
      <c r="BS361" s="445"/>
      <c r="BT361" s="445"/>
      <c r="BU361" s="445"/>
      <c r="BV361" s="445"/>
      <c r="BW361" s="445"/>
      <c r="BX361" s="445"/>
      <c r="BY361" s="445"/>
      <c r="BZ361" s="445"/>
      <c r="CA361" s="445"/>
      <c r="CB361" s="445"/>
      <c r="CC361" s="445"/>
      <c r="CD361" s="445"/>
      <c r="CE361" s="445"/>
      <c r="CF361" s="445"/>
      <c r="CG361" s="445"/>
      <c r="CH361" s="445"/>
      <c r="CI361" s="445"/>
      <c r="CJ361" s="445"/>
      <c r="CK361" s="445"/>
      <c r="CL361" s="445"/>
      <c r="CM361" s="445"/>
      <c r="CN361" s="445"/>
      <c r="CO361" s="445"/>
      <c r="CP361" s="445"/>
      <c r="CQ361" s="445"/>
      <c r="CR361" s="445"/>
      <c r="CS361" s="445"/>
      <c r="CT361" s="445"/>
      <c r="CU361" s="445"/>
      <c r="CV361" s="445"/>
      <c r="CW361" s="445"/>
      <c r="CX361" s="445"/>
      <c r="CY361" s="445"/>
      <c r="CZ361" s="445"/>
      <c r="DA361" s="445"/>
      <c r="DB361" s="445"/>
      <c r="DC361" s="445"/>
      <c r="DD361" s="445"/>
      <c r="DE361" s="445"/>
      <c r="DF361" s="445"/>
      <c r="DG361" s="445"/>
      <c r="DH361" s="445"/>
      <c r="DI361" s="445"/>
      <c r="DJ361" s="445"/>
      <c r="DK361" s="445"/>
      <c r="DL361" s="445"/>
      <c r="DM361" s="445"/>
      <c r="DN361" s="445"/>
      <c r="DO361" s="445"/>
      <c r="DP361" s="445"/>
      <c r="DQ361" s="445"/>
      <c r="DR361" s="445"/>
      <c r="DS361" s="445"/>
      <c r="DT361" s="445"/>
      <c r="DU361" s="445"/>
      <c r="DV361" s="445"/>
      <c r="DW361" s="445"/>
      <c r="DX361" s="445"/>
      <c r="DY361" s="445"/>
      <c r="DZ361" s="445"/>
      <c r="EA361" s="445"/>
      <c r="EB361" s="445"/>
      <c r="EC361" s="445"/>
      <c r="ED361" s="445"/>
      <c r="EE361" s="445"/>
      <c r="EF361" s="445"/>
      <c r="EG361" s="445"/>
      <c r="EH361" s="445"/>
      <c r="EI361" s="445"/>
      <c r="EJ361" s="445"/>
      <c r="EK361" s="445"/>
      <c r="EL361" s="445"/>
      <c r="EM361" s="445"/>
      <c r="EN361" s="445"/>
      <c r="EO361" s="445"/>
      <c r="EP361" s="445"/>
      <c r="EQ361" s="445"/>
      <c r="ER361" s="445"/>
      <c r="ES361" s="445"/>
      <c r="ET361" s="445"/>
      <c r="EU361" s="445"/>
      <c r="EV361" s="445"/>
      <c r="EW361" s="445"/>
      <c r="EX361" s="445"/>
      <c r="EY361" s="445"/>
      <c r="EZ361" s="445"/>
      <c r="FA361" s="445"/>
      <c r="FB361" s="445"/>
      <c r="FC361" s="445"/>
      <c r="FD361" s="445"/>
      <c r="FE361" s="445"/>
      <c r="FF361" s="445"/>
      <c r="FG361" s="445"/>
      <c r="FH361" s="445"/>
      <c r="FI361" s="445"/>
      <c r="FJ361" s="445"/>
      <c r="FK361" s="445"/>
      <c r="FL361" s="445"/>
      <c r="FM361" s="445"/>
      <c r="FN361" s="445"/>
      <c r="FO361" s="445"/>
      <c r="FP361" s="445"/>
    </row>
    <row r="362" spans="1:172" s="453" customFormat="1" x14ac:dyDescent="0.3">
      <c r="A362" s="458" t="s">
        <v>492</v>
      </c>
      <c r="B362" s="454" t="s">
        <v>147</v>
      </c>
      <c r="C362" s="459">
        <v>12</v>
      </c>
      <c r="D362" s="542">
        <v>6.1199999999999997E-2</v>
      </c>
      <c r="E362" s="499">
        <v>65000</v>
      </c>
      <c r="F362" s="456">
        <f t="shared" si="112"/>
        <v>65000</v>
      </c>
      <c r="G362" s="456">
        <f t="shared" si="113"/>
        <v>68978</v>
      </c>
      <c r="H362" s="492">
        <f t="shared" si="121"/>
        <v>71047.34</v>
      </c>
      <c r="I362" s="456">
        <f t="shared" si="115"/>
        <v>5920.6116666666667</v>
      </c>
      <c r="J362" s="489"/>
      <c r="K362"/>
      <c r="L362" s="445"/>
      <c r="M362" s="445"/>
      <c r="N362" s="445"/>
      <c r="O362" s="445"/>
      <c r="P362" s="445"/>
      <c r="Q362" s="445"/>
      <c r="R362" s="445"/>
      <c r="S362" s="445"/>
      <c r="T362" s="445"/>
      <c r="U362" s="445"/>
      <c r="V362" s="445"/>
      <c r="W362" s="445"/>
      <c r="X362" s="445"/>
      <c r="Y362" s="445"/>
      <c r="Z362" s="445"/>
      <c r="AA362" s="445"/>
      <c r="AB362" s="445"/>
      <c r="AC362" s="445"/>
      <c r="AD362" s="445"/>
      <c r="AE362" s="445"/>
      <c r="AF362" s="445"/>
      <c r="AG362" s="445"/>
      <c r="AH362" s="445"/>
      <c r="AI362" s="445"/>
      <c r="AJ362" s="445"/>
      <c r="AK362" s="445"/>
      <c r="AL362" s="445"/>
      <c r="AM362" s="445"/>
      <c r="AN362" s="445"/>
      <c r="AO362" s="445"/>
      <c r="AP362" s="445"/>
      <c r="AQ362" s="445"/>
      <c r="AR362" s="445"/>
      <c r="AS362" s="445"/>
      <c r="AT362" s="445"/>
      <c r="AU362" s="445"/>
      <c r="AV362" s="445"/>
      <c r="AW362" s="445"/>
      <c r="AX362" s="445"/>
      <c r="AY362" s="445"/>
      <c r="AZ362" s="445"/>
      <c r="BA362" s="445"/>
      <c r="BB362" s="445"/>
      <c r="BC362" s="445"/>
      <c r="BD362" s="445"/>
      <c r="BE362" s="445"/>
      <c r="BF362" s="445"/>
      <c r="BG362" s="445"/>
      <c r="BH362" s="445"/>
      <c r="BI362" s="445"/>
      <c r="BJ362" s="445"/>
      <c r="BK362" s="445"/>
      <c r="BL362" s="445"/>
      <c r="BM362" s="445"/>
      <c r="BN362" s="445"/>
      <c r="BO362" s="445"/>
      <c r="BP362" s="445"/>
      <c r="BQ362" s="445"/>
      <c r="BR362" s="445"/>
      <c r="BS362" s="445"/>
      <c r="BT362" s="445"/>
      <c r="BU362" s="445"/>
      <c r="BV362" s="445"/>
      <c r="BW362" s="445"/>
      <c r="BX362" s="445"/>
      <c r="BY362" s="445"/>
      <c r="BZ362" s="445"/>
      <c r="CA362" s="445"/>
      <c r="CB362" s="445"/>
      <c r="CC362" s="445"/>
      <c r="CD362" s="445"/>
      <c r="CE362" s="445"/>
      <c r="CF362" s="445"/>
      <c r="CG362" s="445"/>
      <c r="CH362" s="445"/>
      <c r="CI362" s="445"/>
      <c r="CJ362" s="445"/>
      <c r="CK362" s="445"/>
      <c r="CL362" s="445"/>
      <c r="CM362" s="445"/>
      <c r="CN362" s="445"/>
      <c r="CO362" s="445"/>
      <c r="CP362" s="445"/>
      <c r="CQ362" s="445"/>
      <c r="CR362" s="445"/>
      <c r="CS362" s="445"/>
      <c r="CT362" s="445"/>
      <c r="CU362" s="445"/>
      <c r="CV362" s="445"/>
      <c r="CW362" s="445"/>
      <c r="CX362" s="445"/>
      <c r="CY362" s="445"/>
      <c r="CZ362" s="445"/>
      <c r="DA362" s="445"/>
      <c r="DB362" s="445"/>
      <c r="DC362" s="445"/>
      <c r="DD362" s="445"/>
      <c r="DE362" s="445"/>
      <c r="DF362" s="445"/>
      <c r="DG362" s="445"/>
      <c r="DH362" s="445"/>
      <c r="DI362" s="445"/>
      <c r="DJ362" s="445"/>
      <c r="DK362" s="445"/>
      <c r="DL362" s="445"/>
      <c r="DM362" s="445"/>
      <c r="DN362" s="445"/>
      <c r="DO362" s="445"/>
      <c r="DP362" s="445"/>
      <c r="DQ362" s="445"/>
      <c r="DR362" s="445"/>
      <c r="DS362" s="445"/>
      <c r="DT362" s="445"/>
      <c r="DU362" s="445"/>
      <c r="DV362" s="445"/>
      <c r="DW362" s="445"/>
      <c r="DX362" s="445"/>
      <c r="DY362" s="445"/>
      <c r="DZ362" s="445"/>
      <c r="EA362" s="445"/>
      <c r="EB362" s="445"/>
      <c r="EC362" s="445"/>
      <c r="ED362" s="445"/>
      <c r="EE362" s="445"/>
      <c r="EF362" s="445"/>
      <c r="EG362" s="445"/>
      <c r="EH362" s="445"/>
      <c r="EI362" s="445"/>
      <c r="EJ362" s="445"/>
      <c r="EK362" s="445"/>
      <c r="EL362" s="445"/>
      <c r="EM362" s="445"/>
      <c r="EN362" s="445"/>
      <c r="EO362" s="445"/>
      <c r="EP362" s="445"/>
      <c r="EQ362" s="445"/>
      <c r="ER362" s="445"/>
      <c r="ES362" s="445"/>
      <c r="ET362" s="445"/>
      <c r="EU362" s="445"/>
      <c r="EV362" s="445"/>
      <c r="EW362" s="445"/>
      <c r="EX362" s="445"/>
      <c r="EY362" s="445"/>
      <c r="EZ362" s="445"/>
      <c r="FA362" s="445"/>
      <c r="FB362" s="445"/>
      <c r="FC362" s="445"/>
      <c r="FD362" s="445"/>
      <c r="FE362" s="445"/>
      <c r="FF362" s="445"/>
      <c r="FG362" s="445"/>
      <c r="FH362" s="445"/>
      <c r="FI362" s="445"/>
      <c r="FJ362" s="445"/>
      <c r="FK362" s="445"/>
      <c r="FL362" s="445"/>
      <c r="FM362" s="445"/>
      <c r="FN362" s="445"/>
      <c r="FO362" s="445"/>
      <c r="FP362" s="445"/>
    </row>
    <row r="363" spans="1:172" s="453" customFormat="1" x14ac:dyDescent="0.3">
      <c r="A363" s="458"/>
      <c r="B363" s="454"/>
      <c r="C363" s="459"/>
      <c r="D363" s="542"/>
      <c r="E363" s="499"/>
      <c r="F363" s="456"/>
      <c r="G363" s="456"/>
      <c r="H363" s="492"/>
      <c r="I363" s="456"/>
      <c r="J363" s="489"/>
      <c r="K363"/>
      <c r="L363" s="445"/>
      <c r="M363" s="445"/>
      <c r="N363" s="445"/>
      <c r="O363" s="445"/>
      <c r="P363" s="445"/>
      <c r="Q363" s="445"/>
      <c r="R363" s="445"/>
      <c r="S363" s="445"/>
      <c r="T363" s="445"/>
      <c r="U363" s="445"/>
      <c r="V363" s="445"/>
      <c r="W363" s="445"/>
      <c r="X363" s="445"/>
      <c r="Y363" s="445"/>
      <c r="Z363" s="445"/>
      <c r="AA363" s="445"/>
      <c r="AB363" s="445"/>
      <c r="AC363" s="445"/>
      <c r="AD363" s="445"/>
      <c r="AE363" s="445"/>
      <c r="AF363" s="445"/>
      <c r="AG363" s="445"/>
      <c r="AH363" s="445"/>
      <c r="AI363" s="445"/>
      <c r="AJ363" s="445"/>
      <c r="AK363" s="445"/>
      <c r="AL363" s="445"/>
      <c r="AM363" s="445"/>
      <c r="AN363" s="445"/>
      <c r="AO363" s="445"/>
      <c r="AP363" s="445"/>
      <c r="AQ363" s="445"/>
      <c r="AR363" s="445"/>
      <c r="AS363" s="445"/>
      <c r="AT363" s="445"/>
      <c r="AU363" s="445"/>
      <c r="AV363" s="445"/>
      <c r="AW363" s="445"/>
      <c r="AX363" s="445"/>
      <c r="AY363" s="445"/>
      <c r="AZ363" s="445"/>
      <c r="BA363" s="445"/>
      <c r="BB363" s="445"/>
      <c r="BC363" s="445"/>
      <c r="BD363" s="445"/>
      <c r="BE363" s="445"/>
      <c r="BF363" s="445"/>
      <c r="BG363" s="445"/>
      <c r="BH363" s="445"/>
      <c r="BI363" s="445"/>
      <c r="BJ363" s="445"/>
      <c r="BK363" s="445"/>
      <c r="BL363" s="445"/>
      <c r="BM363" s="445"/>
      <c r="BN363" s="445"/>
      <c r="BO363" s="445"/>
      <c r="BP363" s="445"/>
      <c r="BQ363" s="445"/>
      <c r="BR363" s="445"/>
      <c r="BS363" s="445"/>
      <c r="BT363" s="445"/>
      <c r="BU363" s="445"/>
      <c r="BV363" s="445"/>
      <c r="BW363" s="445"/>
      <c r="BX363" s="445"/>
      <c r="BY363" s="445"/>
      <c r="BZ363" s="445"/>
      <c r="CA363" s="445"/>
      <c r="CB363" s="445"/>
      <c r="CC363" s="445"/>
      <c r="CD363" s="445"/>
      <c r="CE363" s="445"/>
      <c r="CF363" s="445"/>
      <c r="CG363" s="445"/>
      <c r="CH363" s="445"/>
      <c r="CI363" s="445"/>
      <c r="CJ363" s="445"/>
      <c r="CK363" s="445"/>
      <c r="CL363" s="445"/>
      <c r="CM363" s="445"/>
      <c r="CN363" s="445"/>
      <c r="CO363" s="445"/>
      <c r="CP363" s="445"/>
      <c r="CQ363" s="445"/>
      <c r="CR363" s="445"/>
      <c r="CS363" s="445"/>
      <c r="CT363" s="445"/>
      <c r="CU363" s="445"/>
      <c r="CV363" s="445"/>
      <c r="CW363" s="445"/>
      <c r="CX363" s="445"/>
      <c r="CY363" s="445"/>
      <c r="CZ363" s="445"/>
      <c r="DA363" s="445"/>
      <c r="DB363" s="445"/>
      <c r="DC363" s="445"/>
      <c r="DD363" s="445"/>
      <c r="DE363" s="445"/>
      <c r="DF363" s="445"/>
      <c r="DG363" s="445"/>
      <c r="DH363" s="445"/>
      <c r="DI363" s="445"/>
      <c r="DJ363" s="445"/>
      <c r="DK363" s="445"/>
      <c r="DL363" s="445"/>
      <c r="DM363" s="445"/>
      <c r="DN363" s="445"/>
      <c r="DO363" s="445"/>
      <c r="DP363" s="445"/>
      <c r="DQ363" s="445"/>
      <c r="DR363" s="445"/>
      <c r="DS363" s="445"/>
      <c r="DT363" s="445"/>
      <c r="DU363" s="445"/>
      <c r="DV363" s="445"/>
      <c r="DW363" s="445"/>
      <c r="DX363" s="445"/>
      <c r="DY363" s="445"/>
      <c r="DZ363" s="445"/>
      <c r="EA363" s="445"/>
      <c r="EB363" s="445"/>
      <c r="EC363" s="445"/>
      <c r="ED363" s="445"/>
      <c r="EE363" s="445"/>
      <c r="EF363" s="445"/>
      <c r="EG363" s="445"/>
      <c r="EH363" s="445"/>
      <c r="EI363" s="445"/>
      <c r="EJ363" s="445"/>
      <c r="EK363" s="445"/>
      <c r="EL363" s="445"/>
      <c r="EM363" s="445"/>
      <c r="EN363" s="445"/>
      <c r="EO363" s="445"/>
      <c r="EP363" s="445"/>
      <c r="EQ363" s="445"/>
      <c r="ER363" s="445"/>
      <c r="ES363" s="445"/>
      <c r="ET363" s="445"/>
      <c r="EU363" s="445"/>
      <c r="EV363" s="445"/>
      <c r="EW363" s="445"/>
      <c r="EX363" s="445"/>
      <c r="EY363" s="445"/>
      <c r="EZ363" s="445"/>
      <c r="FA363" s="445"/>
      <c r="FB363" s="445"/>
      <c r="FC363" s="445"/>
      <c r="FD363" s="445"/>
      <c r="FE363" s="445"/>
      <c r="FF363" s="445"/>
      <c r="FG363" s="445"/>
      <c r="FH363" s="445"/>
      <c r="FI363" s="445"/>
      <c r="FJ363" s="445"/>
      <c r="FK363" s="445"/>
      <c r="FL363" s="445"/>
      <c r="FM363" s="445"/>
      <c r="FN363" s="445"/>
      <c r="FO363" s="445"/>
      <c r="FP363" s="445"/>
    </row>
    <row r="364" spans="1:172" s="453" customFormat="1" x14ac:dyDescent="0.3">
      <c r="A364" s="458" t="s">
        <v>656</v>
      </c>
      <c r="B364" s="454" t="s">
        <v>147</v>
      </c>
      <c r="C364" s="459">
        <v>12</v>
      </c>
      <c r="D364" s="539">
        <v>0</v>
      </c>
      <c r="E364" s="499">
        <f>+E365</f>
        <v>52457.599999999999</v>
      </c>
      <c r="F364" s="456">
        <f>(E364/C364)*12</f>
        <v>52457.599999999991</v>
      </c>
      <c r="G364" s="456">
        <f>F364+F364*D364</f>
        <v>52457.599999999991</v>
      </c>
      <c r="H364" s="492">
        <f>+G364</f>
        <v>52457.599999999991</v>
      </c>
      <c r="I364" s="456">
        <f>ROUND((H364/12),0)</f>
        <v>4371</v>
      </c>
      <c r="J364" s="489"/>
      <c r="K364"/>
      <c r="L364" s="445"/>
      <c r="M364" s="445"/>
      <c r="N364" s="445"/>
      <c r="O364" s="445"/>
      <c r="P364" s="445"/>
      <c r="Q364" s="445"/>
      <c r="R364" s="445"/>
      <c r="S364" s="445"/>
      <c r="T364" s="445"/>
      <c r="U364" s="445"/>
      <c r="V364" s="445"/>
      <c r="W364" s="445"/>
      <c r="X364" s="445"/>
      <c r="Y364" s="445"/>
      <c r="Z364" s="445"/>
      <c r="AA364" s="445"/>
      <c r="AB364" s="445"/>
      <c r="AC364" s="445"/>
      <c r="AD364" s="445"/>
      <c r="AE364" s="445"/>
      <c r="AF364" s="445"/>
      <c r="AG364" s="445"/>
      <c r="AH364" s="445"/>
      <c r="AI364" s="445"/>
      <c r="AJ364" s="445"/>
      <c r="AK364" s="445"/>
      <c r="AL364" s="445"/>
      <c r="AM364" s="445"/>
      <c r="AN364" s="445"/>
      <c r="AO364" s="445"/>
      <c r="AP364" s="445"/>
      <c r="AQ364" s="445"/>
      <c r="AR364" s="445"/>
      <c r="AS364" s="445"/>
      <c r="AT364" s="445"/>
      <c r="AU364" s="445"/>
      <c r="AV364" s="445"/>
      <c r="AW364" s="445"/>
      <c r="AX364" s="445"/>
      <c r="AY364" s="445"/>
      <c r="AZ364" s="445"/>
      <c r="BA364" s="445"/>
      <c r="BB364" s="445"/>
      <c r="BC364" s="445"/>
      <c r="BD364" s="445"/>
      <c r="BE364" s="445"/>
      <c r="BF364" s="445"/>
      <c r="BG364" s="445"/>
      <c r="BH364" s="445"/>
      <c r="BI364" s="445"/>
      <c r="BJ364" s="445"/>
      <c r="BK364" s="445"/>
      <c r="BL364" s="445"/>
      <c r="BM364" s="445"/>
      <c r="BN364" s="445"/>
      <c r="BO364" s="445"/>
      <c r="BP364" s="445"/>
      <c r="BQ364" s="445"/>
      <c r="BR364" s="445"/>
      <c r="BS364" s="445"/>
      <c r="BT364" s="445"/>
      <c r="BU364" s="445"/>
      <c r="BV364" s="445"/>
      <c r="BW364" s="445"/>
      <c r="BX364" s="445"/>
      <c r="BY364" s="445"/>
      <c r="BZ364" s="445"/>
      <c r="CA364" s="445"/>
      <c r="CB364" s="445"/>
      <c r="CC364" s="445"/>
      <c r="CD364" s="445"/>
      <c r="CE364" s="445"/>
      <c r="CF364" s="445"/>
      <c r="CG364" s="445"/>
      <c r="CH364" s="445"/>
      <c r="CI364" s="445"/>
      <c r="CJ364" s="445"/>
      <c r="CK364" s="445"/>
      <c r="CL364" s="445"/>
      <c r="CM364" s="445"/>
      <c r="CN364" s="445"/>
      <c r="CO364" s="445"/>
      <c r="CP364" s="445"/>
      <c r="CQ364" s="445"/>
      <c r="CR364" s="445"/>
      <c r="CS364" s="445"/>
      <c r="CT364" s="445"/>
      <c r="CU364" s="445"/>
      <c r="CV364" s="445"/>
      <c r="CW364" s="445"/>
      <c r="CX364" s="445"/>
      <c r="CY364" s="445"/>
      <c r="CZ364" s="445"/>
      <c r="DA364" s="445"/>
      <c r="DB364" s="445"/>
      <c r="DC364" s="445"/>
      <c r="DD364" s="445"/>
      <c r="DE364" s="445"/>
      <c r="DF364" s="445"/>
      <c r="DG364" s="445"/>
      <c r="DH364" s="445"/>
      <c r="DI364" s="445"/>
      <c r="DJ364" s="445"/>
      <c r="DK364" s="445"/>
      <c r="DL364" s="445"/>
      <c r="DM364" s="445"/>
      <c r="DN364" s="445"/>
      <c r="DO364" s="445"/>
      <c r="DP364" s="445"/>
      <c r="DQ364" s="445"/>
      <c r="DR364" s="445"/>
      <c r="DS364" s="445"/>
      <c r="DT364" s="445"/>
      <c r="DU364" s="445"/>
      <c r="DV364" s="445"/>
      <c r="DW364" s="445"/>
      <c r="DX364" s="445"/>
      <c r="DY364" s="445"/>
      <c r="DZ364" s="445"/>
      <c r="EA364" s="445"/>
      <c r="EB364" s="445"/>
      <c r="EC364" s="445"/>
      <c r="ED364" s="445"/>
      <c r="EE364" s="445"/>
      <c r="EF364" s="445"/>
      <c r="EG364" s="445"/>
      <c r="EH364" s="445"/>
      <c r="EI364" s="445"/>
      <c r="EJ364" s="445"/>
      <c r="EK364" s="445"/>
      <c r="EL364" s="445"/>
      <c r="EM364" s="445"/>
      <c r="EN364" s="445"/>
      <c r="EO364" s="445"/>
      <c r="EP364" s="445"/>
      <c r="EQ364" s="445"/>
      <c r="ER364" s="445"/>
      <c r="ES364" s="445"/>
      <c r="ET364" s="445"/>
      <c r="EU364" s="445"/>
      <c r="EV364" s="445"/>
      <c r="EW364" s="445"/>
      <c r="EX364" s="445"/>
      <c r="EY364" s="445"/>
      <c r="EZ364" s="445"/>
      <c r="FA364" s="445"/>
      <c r="FB364" s="445"/>
      <c r="FC364" s="445"/>
      <c r="FD364" s="445"/>
      <c r="FE364" s="445"/>
      <c r="FF364" s="445"/>
      <c r="FG364" s="445"/>
      <c r="FH364" s="445"/>
      <c r="FI364" s="445"/>
      <c r="FJ364" s="445"/>
      <c r="FK364" s="445"/>
      <c r="FL364" s="445"/>
      <c r="FM364" s="445"/>
      <c r="FN364" s="445"/>
      <c r="FO364" s="445"/>
      <c r="FP364" s="445"/>
    </row>
    <row r="365" spans="1:172" s="453" customFormat="1" x14ac:dyDescent="0.3">
      <c r="A365" s="458" t="s">
        <v>657</v>
      </c>
      <c r="B365" s="454" t="s">
        <v>147</v>
      </c>
      <c r="C365" s="459">
        <v>12</v>
      </c>
      <c r="D365" s="539">
        <v>0</v>
      </c>
      <c r="E365" s="499">
        <v>52457.599999999999</v>
      </c>
      <c r="F365" s="456">
        <f>(E365/C365)*12</f>
        <v>52457.599999999991</v>
      </c>
      <c r="G365" s="456">
        <f>F365+F365*D365</f>
        <v>52457.599999999991</v>
      </c>
      <c r="H365" s="492">
        <f t="shared" ref="H365:H366" si="122">+G365</f>
        <v>52457.599999999991</v>
      </c>
      <c r="I365" s="456">
        <f>ROUND((H365/12),0)</f>
        <v>4371</v>
      </c>
      <c r="J365" s="489"/>
      <c r="K365"/>
      <c r="L365" s="445"/>
      <c r="M365" s="445"/>
      <c r="N365" s="445"/>
      <c r="O365" s="445"/>
      <c r="P365" s="445"/>
      <c r="Q365" s="445"/>
      <c r="R365" s="445"/>
      <c r="S365" s="445"/>
      <c r="T365" s="445"/>
      <c r="U365" s="445"/>
      <c r="V365" s="445"/>
      <c r="W365" s="445"/>
      <c r="X365" s="445"/>
      <c r="Y365" s="445"/>
      <c r="Z365" s="445"/>
      <c r="AA365" s="445"/>
      <c r="AB365" s="445"/>
      <c r="AC365" s="445"/>
      <c r="AD365" s="445"/>
      <c r="AE365" s="445"/>
      <c r="AF365" s="445"/>
      <c r="AG365" s="445"/>
      <c r="AH365" s="445"/>
      <c r="AI365" s="445"/>
      <c r="AJ365" s="445"/>
      <c r="AK365" s="445"/>
      <c r="AL365" s="445"/>
      <c r="AM365" s="445"/>
      <c r="AN365" s="445"/>
      <c r="AO365" s="445"/>
      <c r="AP365" s="445"/>
      <c r="AQ365" s="445"/>
      <c r="AR365" s="445"/>
      <c r="AS365" s="445"/>
      <c r="AT365" s="445"/>
      <c r="AU365" s="445"/>
      <c r="AV365" s="445"/>
      <c r="AW365" s="445"/>
      <c r="AX365" s="445"/>
      <c r="AY365" s="445"/>
      <c r="AZ365" s="445"/>
      <c r="BA365" s="445"/>
      <c r="BB365" s="445"/>
      <c r="BC365" s="445"/>
      <c r="BD365" s="445"/>
      <c r="BE365" s="445"/>
      <c r="BF365" s="445"/>
      <c r="BG365" s="445"/>
      <c r="BH365" s="445"/>
      <c r="BI365" s="445"/>
      <c r="BJ365" s="445"/>
      <c r="BK365" s="445"/>
      <c r="BL365" s="445"/>
      <c r="BM365" s="445"/>
      <c r="BN365" s="445"/>
      <c r="BO365" s="445"/>
      <c r="BP365" s="445"/>
      <c r="BQ365" s="445"/>
      <c r="BR365" s="445"/>
      <c r="BS365" s="445"/>
      <c r="BT365" s="445"/>
      <c r="BU365" s="445"/>
      <c r="BV365" s="445"/>
      <c r="BW365" s="445"/>
      <c r="BX365" s="445"/>
      <c r="BY365" s="445"/>
      <c r="BZ365" s="445"/>
      <c r="CA365" s="445"/>
      <c r="CB365" s="445"/>
      <c r="CC365" s="445"/>
      <c r="CD365" s="445"/>
      <c r="CE365" s="445"/>
      <c r="CF365" s="445"/>
      <c r="CG365" s="445"/>
      <c r="CH365" s="445"/>
      <c r="CI365" s="445"/>
      <c r="CJ365" s="445"/>
      <c r="CK365" s="445"/>
      <c r="CL365" s="445"/>
      <c r="CM365" s="445"/>
      <c r="CN365" s="445"/>
      <c r="CO365" s="445"/>
      <c r="CP365" s="445"/>
      <c r="CQ365" s="445"/>
      <c r="CR365" s="445"/>
      <c r="CS365" s="445"/>
      <c r="CT365" s="445"/>
      <c r="CU365" s="445"/>
      <c r="CV365" s="445"/>
      <c r="CW365" s="445"/>
      <c r="CX365" s="445"/>
      <c r="CY365" s="445"/>
      <c r="CZ365" s="445"/>
      <c r="DA365" s="445"/>
      <c r="DB365" s="445"/>
      <c r="DC365" s="445"/>
      <c r="DD365" s="445"/>
      <c r="DE365" s="445"/>
      <c r="DF365" s="445"/>
      <c r="DG365" s="445"/>
      <c r="DH365" s="445"/>
      <c r="DI365" s="445"/>
      <c r="DJ365" s="445"/>
      <c r="DK365" s="445"/>
      <c r="DL365" s="445"/>
      <c r="DM365" s="445"/>
      <c r="DN365" s="445"/>
      <c r="DO365" s="445"/>
      <c r="DP365" s="445"/>
      <c r="DQ365" s="445"/>
      <c r="DR365" s="445"/>
      <c r="DS365" s="445"/>
      <c r="DT365" s="445"/>
      <c r="DU365" s="445"/>
      <c r="DV365" s="445"/>
      <c r="DW365" s="445"/>
      <c r="DX365" s="445"/>
      <c r="DY365" s="445"/>
      <c r="DZ365" s="445"/>
      <c r="EA365" s="445"/>
      <c r="EB365" s="445"/>
      <c r="EC365" s="445"/>
      <c r="ED365" s="445"/>
      <c r="EE365" s="445"/>
      <c r="EF365" s="445"/>
      <c r="EG365" s="445"/>
      <c r="EH365" s="445"/>
      <c r="EI365" s="445"/>
      <c r="EJ365" s="445"/>
      <c r="EK365" s="445"/>
      <c r="EL365" s="445"/>
      <c r="EM365" s="445"/>
      <c r="EN365" s="445"/>
      <c r="EO365" s="445"/>
      <c r="EP365" s="445"/>
      <c r="EQ365" s="445"/>
      <c r="ER365" s="445"/>
      <c r="ES365" s="445"/>
      <c r="ET365" s="445"/>
      <c r="EU365" s="445"/>
      <c r="EV365" s="445"/>
      <c r="EW365" s="445"/>
      <c r="EX365" s="445"/>
      <c r="EY365" s="445"/>
      <c r="EZ365" s="445"/>
      <c r="FA365" s="445"/>
      <c r="FB365" s="445"/>
      <c r="FC365" s="445"/>
      <c r="FD365" s="445"/>
      <c r="FE365" s="445"/>
      <c r="FF365" s="445"/>
      <c r="FG365" s="445"/>
      <c r="FH365" s="445"/>
      <c r="FI365" s="445"/>
      <c r="FJ365" s="445"/>
      <c r="FK365" s="445"/>
      <c r="FL365" s="445"/>
      <c r="FM365" s="445"/>
      <c r="FN365" s="445"/>
      <c r="FO365" s="445"/>
      <c r="FP365" s="445"/>
    </row>
    <row r="366" spans="1:172" s="453" customFormat="1" x14ac:dyDescent="0.3">
      <c r="A366" s="458" t="s">
        <v>658</v>
      </c>
      <c r="B366" s="454" t="s">
        <v>147</v>
      </c>
      <c r="C366" s="459">
        <v>12</v>
      </c>
      <c r="D366" s="539">
        <v>0</v>
      </c>
      <c r="E366" s="499">
        <v>24960</v>
      </c>
      <c r="F366" s="456">
        <f>(E366/C366)*12</f>
        <v>24960</v>
      </c>
      <c r="G366" s="456">
        <f>F366+F366*D366</f>
        <v>24960</v>
      </c>
      <c r="H366" s="492">
        <f t="shared" si="122"/>
        <v>24960</v>
      </c>
      <c r="I366" s="456">
        <f>ROUND((H366/12),0)</f>
        <v>2080</v>
      </c>
      <c r="J366" s="489"/>
      <c r="K366"/>
      <c r="L366" s="445"/>
      <c r="M366" s="445"/>
      <c r="N366" s="445"/>
      <c r="O366" s="445"/>
      <c r="P366" s="445"/>
      <c r="Q366" s="445"/>
      <c r="R366" s="445"/>
      <c r="S366" s="445"/>
      <c r="T366" s="445"/>
      <c r="U366" s="445"/>
      <c r="V366" s="445"/>
      <c r="W366" s="445"/>
      <c r="X366" s="445"/>
      <c r="Y366" s="445"/>
      <c r="Z366" s="445"/>
      <c r="AA366" s="445"/>
      <c r="AB366" s="445"/>
      <c r="AC366" s="445"/>
      <c r="AD366" s="445"/>
      <c r="AE366" s="445"/>
      <c r="AF366" s="445"/>
      <c r="AG366" s="445"/>
      <c r="AH366" s="445"/>
      <c r="AI366" s="445"/>
      <c r="AJ366" s="445"/>
      <c r="AK366" s="445"/>
      <c r="AL366" s="445"/>
      <c r="AM366" s="445"/>
      <c r="AN366" s="445"/>
      <c r="AO366" s="445"/>
      <c r="AP366" s="445"/>
      <c r="AQ366" s="445"/>
      <c r="AR366" s="445"/>
      <c r="AS366" s="445"/>
      <c r="AT366" s="445"/>
      <c r="AU366" s="445"/>
      <c r="AV366" s="445"/>
      <c r="AW366" s="445"/>
      <c r="AX366" s="445"/>
      <c r="AY366" s="445"/>
      <c r="AZ366" s="445"/>
      <c r="BA366" s="445"/>
      <c r="BB366" s="445"/>
      <c r="BC366" s="445"/>
      <c r="BD366" s="445"/>
      <c r="BE366" s="445"/>
      <c r="BF366" s="445"/>
      <c r="BG366" s="445"/>
      <c r="BH366" s="445"/>
      <c r="BI366" s="445"/>
      <c r="BJ366" s="445"/>
      <c r="BK366" s="445"/>
      <c r="BL366" s="445"/>
      <c r="BM366" s="445"/>
      <c r="BN366" s="445"/>
      <c r="BO366" s="445"/>
      <c r="BP366" s="445"/>
      <c r="BQ366" s="445"/>
      <c r="BR366" s="445"/>
      <c r="BS366" s="445"/>
      <c r="BT366" s="445"/>
      <c r="BU366" s="445"/>
      <c r="BV366" s="445"/>
      <c r="BW366" s="445"/>
      <c r="BX366" s="445"/>
      <c r="BY366" s="445"/>
      <c r="BZ366" s="445"/>
      <c r="CA366" s="445"/>
      <c r="CB366" s="445"/>
      <c r="CC366" s="445"/>
      <c r="CD366" s="445"/>
      <c r="CE366" s="445"/>
      <c r="CF366" s="445"/>
      <c r="CG366" s="445"/>
      <c r="CH366" s="445"/>
      <c r="CI366" s="445"/>
      <c r="CJ366" s="445"/>
      <c r="CK366" s="445"/>
      <c r="CL366" s="445"/>
      <c r="CM366" s="445"/>
      <c r="CN366" s="445"/>
      <c r="CO366" s="445"/>
      <c r="CP366" s="445"/>
      <c r="CQ366" s="445"/>
      <c r="CR366" s="445"/>
      <c r="CS366" s="445"/>
      <c r="CT366" s="445"/>
      <c r="CU366" s="445"/>
      <c r="CV366" s="445"/>
      <c r="CW366" s="445"/>
      <c r="CX366" s="445"/>
      <c r="CY366" s="445"/>
      <c r="CZ366" s="445"/>
      <c r="DA366" s="445"/>
      <c r="DB366" s="445"/>
      <c r="DC366" s="445"/>
      <c r="DD366" s="445"/>
      <c r="DE366" s="445"/>
      <c r="DF366" s="445"/>
      <c r="DG366" s="445"/>
      <c r="DH366" s="445"/>
      <c r="DI366" s="445"/>
      <c r="DJ366" s="445"/>
      <c r="DK366" s="445"/>
      <c r="DL366" s="445"/>
      <c r="DM366" s="445"/>
      <c r="DN366" s="445"/>
      <c r="DO366" s="445"/>
      <c r="DP366" s="445"/>
      <c r="DQ366" s="445"/>
      <c r="DR366" s="445"/>
      <c r="DS366" s="445"/>
      <c r="DT366" s="445"/>
      <c r="DU366" s="445"/>
      <c r="DV366" s="445"/>
      <c r="DW366" s="445"/>
      <c r="DX366" s="445"/>
      <c r="DY366" s="445"/>
      <c r="DZ366" s="445"/>
      <c r="EA366" s="445"/>
      <c r="EB366" s="445"/>
      <c r="EC366" s="445"/>
      <c r="ED366" s="445"/>
      <c r="EE366" s="445"/>
      <c r="EF366" s="445"/>
      <c r="EG366" s="445"/>
      <c r="EH366" s="445"/>
      <c r="EI366" s="445"/>
      <c r="EJ366" s="445"/>
      <c r="EK366" s="445"/>
      <c r="EL366" s="445"/>
      <c r="EM366" s="445"/>
      <c r="EN366" s="445"/>
      <c r="EO366" s="445"/>
      <c r="EP366" s="445"/>
      <c r="EQ366" s="445"/>
      <c r="ER366" s="445"/>
      <c r="ES366" s="445"/>
      <c r="ET366" s="445"/>
      <c r="EU366" s="445"/>
      <c r="EV366" s="445"/>
      <c r="EW366" s="445"/>
      <c r="EX366" s="445"/>
      <c r="EY366" s="445"/>
      <c r="EZ366" s="445"/>
      <c r="FA366" s="445"/>
      <c r="FB366" s="445"/>
      <c r="FC366" s="445"/>
      <c r="FD366" s="445"/>
      <c r="FE366" s="445"/>
      <c r="FF366" s="445"/>
      <c r="FG366" s="445"/>
      <c r="FH366" s="445"/>
      <c r="FI366" s="445"/>
      <c r="FJ366" s="445"/>
      <c r="FK366" s="445"/>
      <c r="FL366" s="445"/>
      <c r="FM366" s="445"/>
      <c r="FN366" s="445"/>
      <c r="FO366" s="445"/>
      <c r="FP366" s="445"/>
    </row>
    <row r="367" spans="1:172" s="453" customFormat="1" x14ac:dyDescent="0.3">
      <c r="A367" s="495"/>
      <c r="B367" s="496"/>
      <c r="C367" s="497"/>
      <c r="D367" s="543"/>
      <c r="E367" s="457"/>
      <c r="F367" s="456"/>
      <c r="G367" s="456"/>
      <c r="H367" s="492"/>
      <c r="I367" s="456"/>
      <c r="J367" s="489"/>
      <c r="K367"/>
      <c r="L367" s="445"/>
      <c r="M367" s="445"/>
      <c r="N367" s="445"/>
      <c r="O367" s="445"/>
      <c r="P367" s="445"/>
      <c r="Q367" s="445"/>
      <c r="R367" s="445"/>
      <c r="S367" s="445"/>
      <c r="T367" s="445"/>
      <c r="U367" s="445"/>
      <c r="V367" s="445"/>
      <c r="W367" s="445"/>
      <c r="X367" s="445"/>
      <c r="Y367" s="445"/>
      <c r="Z367" s="445"/>
      <c r="AA367" s="445"/>
      <c r="AB367" s="445"/>
      <c r="AC367" s="445"/>
      <c r="AD367" s="445"/>
      <c r="AE367" s="445"/>
      <c r="AF367" s="445"/>
      <c r="AG367" s="445"/>
      <c r="AH367" s="445"/>
      <c r="AI367" s="445"/>
      <c r="AJ367" s="445"/>
      <c r="AK367" s="445"/>
      <c r="AL367" s="445"/>
      <c r="AM367" s="445"/>
      <c r="AN367" s="445"/>
      <c r="AO367" s="445"/>
      <c r="AP367" s="445"/>
      <c r="AQ367" s="445"/>
      <c r="AR367" s="445"/>
      <c r="AS367" s="445"/>
      <c r="AT367" s="445"/>
      <c r="AU367" s="445"/>
      <c r="AV367" s="445"/>
      <c r="AW367" s="445"/>
      <c r="AX367" s="445"/>
      <c r="AY367" s="445"/>
      <c r="AZ367" s="445"/>
      <c r="BA367" s="445"/>
      <c r="BB367" s="445"/>
      <c r="BC367" s="445"/>
      <c r="BD367" s="445"/>
      <c r="BE367" s="445"/>
      <c r="BF367" s="445"/>
      <c r="BG367" s="445"/>
      <c r="BH367" s="445"/>
      <c r="BI367" s="445"/>
      <c r="BJ367" s="445"/>
      <c r="BK367" s="445"/>
      <c r="BL367" s="445"/>
      <c r="BM367" s="445"/>
      <c r="BN367" s="445"/>
      <c r="BO367" s="445"/>
      <c r="BP367" s="445"/>
      <c r="BQ367" s="445"/>
      <c r="BR367" s="445"/>
      <c r="BS367" s="445"/>
      <c r="BT367" s="445"/>
      <c r="BU367" s="445"/>
      <c r="BV367" s="445"/>
      <c r="BW367" s="445"/>
      <c r="BX367" s="445"/>
      <c r="BY367" s="445"/>
      <c r="BZ367" s="445"/>
      <c r="CA367" s="445"/>
      <c r="CB367" s="445"/>
      <c r="CC367" s="445"/>
      <c r="CD367" s="445"/>
      <c r="CE367" s="445"/>
      <c r="CF367" s="445"/>
      <c r="CG367" s="445"/>
      <c r="CH367" s="445"/>
      <c r="CI367" s="445"/>
      <c r="CJ367" s="445"/>
      <c r="CK367" s="445"/>
      <c r="CL367" s="445"/>
      <c r="CM367" s="445"/>
      <c r="CN367" s="445"/>
      <c r="CO367" s="445"/>
      <c r="CP367" s="445"/>
      <c r="CQ367" s="445"/>
      <c r="CR367" s="445"/>
      <c r="CS367" s="445"/>
      <c r="CT367" s="445"/>
      <c r="CU367" s="445"/>
      <c r="CV367" s="445"/>
      <c r="CW367" s="445"/>
      <c r="CX367" s="445"/>
      <c r="CY367" s="445"/>
      <c r="CZ367" s="445"/>
      <c r="DA367" s="445"/>
      <c r="DB367" s="445"/>
      <c r="DC367" s="445"/>
      <c r="DD367" s="445"/>
      <c r="DE367" s="445"/>
      <c r="DF367" s="445"/>
      <c r="DG367" s="445"/>
      <c r="DH367" s="445"/>
      <c r="DI367" s="445"/>
      <c r="DJ367" s="445"/>
      <c r="DK367" s="445"/>
      <c r="DL367" s="445"/>
      <c r="DM367" s="445"/>
      <c r="DN367" s="445"/>
      <c r="DO367" s="445"/>
      <c r="DP367" s="445"/>
      <c r="DQ367" s="445"/>
      <c r="DR367" s="445"/>
      <c r="DS367" s="445"/>
      <c r="DT367" s="445"/>
      <c r="DU367" s="445"/>
      <c r="DV367" s="445"/>
      <c r="DW367" s="445"/>
      <c r="DX367" s="445"/>
      <c r="DY367" s="445"/>
      <c r="DZ367" s="445"/>
      <c r="EA367" s="445"/>
      <c r="EB367" s="445"/>
      <c r="EC367" s="445"/>
      <c r="ED367" s="445"/>
      <c r="EE367" s="445"/>
      <c r="EF367" s="445"/>
      <c r="EG367" s="445"/>
      <c r="EH367" s="445"/>
      <c r="EI367" s="445"/>
      <c r="EJ367" s="445"/>
      <c r="EK367" s="445"/>
      <c r="EL367" s="445"/>
      <c r="EM367" s="445"/>
      <c r="EN367" s="445"/>
      <c r="EO367" s="445"/>
      <c r="EP367" s="445"/>
      <c r="EQ367" s="445"/>
      <c r="ER367" s="445"/>
      <c r="ES367" s="445"/>
      <c r="ET367" s="445"/>
      <c r="EU367" s="445"/>
      <c r="EV367" s="445"/>
      <c r="EW367" s="445"/>
      <c r="EX367" s="445"/>
      <c r="EY367" s="445"/>
      <c r="EZ367" s="445"/>
      <c r="FA367" s="445"/>
      <c r="FB367" s="445"/>
      <c r="FC367" s="445"/>
      <c r="FD367" s="445"/>
      <c r="FE367" s="445"/>
      <c r="FF367" s="445"/>
      <c r="FG367" s="445"/>
      <c r="FH367" s="445"/>
      <c r="FI367" s="445"/>
      <c r="FJ367" s="445"/>
      <c r="FK367" s="445"/>
      <c r="FL367" s="445"/>
      <c r="FM367" s="445"/>
      <c r="FN367" s="445"/>
      <c r="FO367" s="445"/>
      <c r="FP367" s="445"/>
    </row>
    <row r="368" spans="1:172" s="453" customFormat="1" x14ac:dyDescent="0.3">
      <c r="A368" s="19"/>
      <c r="B368" s="444"/>
      <c r="C368" s="498"/>
      <c r="D368" s="544"/>
      <c r="E368" s="447"/>
      <c r="F368" s="445"/>
      <c r="G368" s="448"/>
      <c r="H368" s="445"/>
      <c r="I368" s="456"/>
      <c r="J368" s="489"/>
      <c r="K368"/>
      <c r="L368" s="445"/>
      <c r="M368" s="445"/>
      <c r="N368" s="445"/>
      <c r="O368" s="445"/>
      <c r="P368" s="445"/>
      <c r="Q368" s="445"/>
      <c r="R368" s="445"/>
      <c r="S368" s="445"/>
      <c r="T368" s="445"/>
      <c r="U368" s="445"/>
      <c r="V368" s="445"/>
      <c r="W368" s="445"/>
      <c r="X368" s="445"/>
      <c r="Y368" s="445"/>
      <c r="Z368" s="445"/>
      <c r="AA368" s="445"/>
      <c r="AB368" s="445"/>
      <c r="AC368" s="445"/>
      <c r="AD368" s="445"/>
      <c r="AE368" s="445"/>
      <c r="AF368" s="445"/>
      <c r="AG368" s="445"/>
      <c r="AH368" s="445"/>
      <c r="AI368" s="445"/>
      <c r="AJ368" s="445"/>
      <c r="AK368" s="445"/>
      <c r="AL368" s="445"/>
      <c r="AM368" s="445"/>
      <c r="AN368" s="445"/>
      <c r="AO368" s="445"/>
      <c r="AP368" s="445"/>
      <c r="AQ368" s="445"/>
      <c r="AR368" s="445"/>
      <c r="AS368" s="445"/>
      <c r="AT368" s="445"/>
      <c r="AU368" s="445"/>
      <c r="AV368" s="445"/>
      <c r="AW368" s="445"/>
      <c r="AX368" s="445"/>
      <c r="AY368" s="445"/>
      <c r="AZ368" s="445"/>
      <c r="BA368" s="445"/>
      <c r="BB368" s="445"/>
      <c r="BC368" s="445"/>
      <c r="BD368" s="445"/>
      <c r="BE368" s="445"/>
      <c r="BF368" s="445"/>
      <c r="BG368" s="445"/>
      <c r="BH368" s="445"/>
      <c r="BI368" s="445"/>
      <c r="BJ368" s="445"/>
      <c r="BK368" s="445"/>
      <c r="BL368" s="445"/>
      <c r="BM368" s="445"/>
      <c r="BN368" s="445"/>
      <c r="BO368" s="445"/>
      <c r="BP368" s="445"/>
      <c r="BQ368" s="445"/>
      <c r="BR368" s="445"/>
      <c r="BS368" s="445"/>
      <c r="BT368" s="445"/>
      <c r="BU368" s="445"/>
      <c r="BV368" s="445"/>
      <c r="BW368" s="445"/>
      <c r="BX368" s="445"/>
      <c r="BY368" s="445"/>
      <c r="BZ368" s="445"/>
      <c r="CA368" s="445"/>
      <c r="CB368" s="445"/>
      <c r="CC368" s="445"/>
      <c r="CD368" s="445"/>
      <c r="CE368" s="445"/>
      <c r="CF368" s="445"/>
      <c r="CG368" s="445"/>
      <c r="CH368" s="445"/>
      <c r="CI368" s="445"/>
      <c r="CJ368" s="445"/>
      <c r="CK368" s="445"/>
      <c r="CL368" s="445"/>
      <c r="CM368" s="445"/>
      <c r="CN368" s="445"/>
      <c r="CO368" s="445"/>
      <c r="CP368" s="445"/>
      <c r="CQ368" s="445"/>
      <c r="CR368" s="445"/>
      <c r="CS368" s="445"/>
      <c r="CT368" s="445"/>
      <c r="CU368" s="445"/>
      <c r="CV368" s="445"/>
      <c r="CW368" s="445"/>
      <c r="CX368" s="445"/>
      <c r="CY368" s="445"/>
      <c r="CZ368" s="445"/>
      <c r="DA368" s="445"/>
      <c r="DB368" s="445"/>
      <c r="DC368" s="445"/>
      <c r="DD368" s="445"/>
      <c r="DE368" s="445"/>
      <c r="DF368" s="445"/>
      <c r="DG368" s="445"/>
      <c r="DH368" s="445"/>
      <c r="DI368" s="445"/>
      <c r="DJ368" s="445"/>
      <c r="DK368" s="445"/>
      <c r="DL368" s="445"/>
      <c r="DM368" s="445"/>
      <c r="DN368" s="445"/>
      <c r="DO368" s="445"/>
      <c r="DP368" s="445"/>
      <c r="DQ368" s="445"/>
      <c r="DR368" s="445"/>
      <c r="DS368" s="445"/>
      <c r="DT368" s="445"/>
      <c r="DU368" s="445"/>
      <c r="DV368" s="445"/>
      <c r="DW368" s="445"/>
      <c r="DX368" s="445"/>
      <c r="DY368" s="445"/>
      <c r="DZ368" s="445"/>
      <c r="EA368" s="445"/>
      <c r="EB368" s="445"/>
      <c r="EC368" s="445"/>
      <c r="ED368" s="445"/>
      <c r="EE368" s="445"/>
      <c r="EF368" s="445"/>
      <c r="EG368" s="445"/>
      <c r="EH368" s="445"/>
      <c r="EI368" s="445"/>
      <c r="EJ368" s="445"/>
      <c r="EK368" s="445"/>
      <c r="EL368" s="445"/>
      <c r="EM368" s="445"/>
      <c r="EN368" s="445"/>
      <c r="EO368" s="445"/>
      <c r="EP368" s="445"/>
      <c r="EQ368" s="445"/>
      <c r="ER368" s="445"/>
      <c r="ES368" s="445"/>
      <c r="ET368" s="445"/>
      <c r="EU368" s="445"/>
      <c r="EV368" s="445"/>
      <c r="EW368" s="445"/>
      <c r="EX368" s="445"/>
      <c r="EY368" s="445"/>
      <c r="EZ368" s="445"/>
      <c r="FA368" s="445"/>
      <c r="FB368" s="445"/>
      <c r="FC368" s="445"/>
      <c r="FD368" s="445"/>
      <c r="FE368" s="445"/>
      <c r="FF368" s="445"/>
      <c r="FG368" s="445"/>
      <c r="FH368" s="445"/>
      <c r="FI368" s="445"/>
      <c r="FJ368" s="445"/>
      <c r="FK368" s="445"/>
      <c r="FL368" s="445"/>
      <c r="FM368" s="445"/>
      <c r="FN368" s="445"/>
      <c r="FO368" s="445"/>
      <c r="FP368" s="445"/>
    </row>
    <row r="369" spans="1:172" s="453" customFormat="1" x14ac:dyDescent="0.3">
      <c r="A369" s="445"/>
      <c r="B369" s="444"/>
      <c r="C369" s="447"/>
      <c r="D369" s="544"/>
      <c r="E369" s="447"/>
      <c r="F369" s="448"/>
      <c r="G369" s="445"/>
      <c r="H369" s="445"/>
      <c r="I369" s="456"/>
      <c r="J369" s="489"/>
      <c r="K369"/>
      <c r="L369" s="445"/>
      <c r="M369" s="445"/>
      <c r="N369" s="445"/>
      <c r="O369" s="445"/>
      <c r="P369" s="445"/>
      <c r="Q369" s="445"/>
      <c r="R369" s="445"/>
      <c r="S369" s="445"/>
      <c r="T369" s="445"/>
      <c r="U369" s="445"/>
      <c r="V369" s="445"/>
      <c r="W369" s="445"/>
      <c r="X369" s="445"/>
      <c r="Y369" s="445"/>
      <c r="Z369" s="445"/>
      <c r="AA369" s="445"/>
      <c r="AB369" s="445"/>
      <c r="AC369" s="445"/>
      <c r="AD369" s="445"/>
      <c r="AE369" s="445"/>
      <c r="AF369" s="445"/>
      <c r="AG369" s="445"/>
      <c r="AH369" s="445"/>
      <c r="AI369" s="445"/>
      <c r="AJ369" s="445"/>
      <c r="AK369" s="445"/>
      <c r="AL369" s="445"/>
      <c r="AM369" s="445"/>
      <c r="AN369" s="445"/>
      <c r="AO369" s="445"/>
      <c r="AP369" s="445"/>
      <c r="AQ369" s="445"/>
      <c r="AR369" s="445"/>
      <c r="AS369" s="445"/>
      <c r="AT369" s="445"/>
      <c r="AU369" s="445"/>
      <c r="AV369" s="445"/>
      <c r="AW369" s="445"/>
      <c r="AX369" s="445"/>
      <c r="AY369" s="445"/>
      <c r="AZ369" s="445"/>
      <c r="BA369" s="445"/>
      <c r="BB369" s="445"/>
      <c r="BC369" s="445"/>
      <c r="BD369" s="445"/>
      <c r="BE369" s="445"/>
      <c r="BF369" s="445"/>
      <c r="BG369" s="445"/>
      <c r="BH369" s="445"/>
      <c r="BI369" s="445"/>
      <c r="BJ369" s="445"/>
      <c r="BK369" s="445"/>
      <c r="BL369" s="445"/>
      <c r="BM369" s="445"/>
      <c r="BN369" s="445"/>
      <c r="BO369" s="445"/>
      <c r="BP369" s="445"/>
      <c r="BQ369" s="445"/>
      <c r="BR369" s="445"/>
      <c r="BS369" s="445"/>
      <c r="BT369" s="445"/>
      <c r="BU369" s="445"/>
      <c r="BV369" s="445"/>
      <c r="BW369" s="445"/>
      <c r="BX369" s="445"/>
      <c r="BY369" s="445"/>
      <c r="BZ369" s="445"/>
      <c r="CA369" s="445"/>
      <c r="CB369" s="445"/>
      <c r="CC369" s="445"/>
      <c r="CD369" s="445"/>
      <c r="CE369" s="445"/>
      <c r="CF369" s="445"/>
      <c r="CG369" s="445"/>
      <c r="CH369" s="445"/>
      <c r="CI369" s="445"/>
      <c r="CJ369" s="445"/>
      <c r="CK369" s="445"/>
      <c r="CL369" s="445"/>
      <c r="CM369" s="445"/>
      <c r="CN369" s="445"/>
      <c r="CO369" s="445"/>
      <c r="CP369" s="445"/>
      <c r="CQ369" s="445"/>
      <c r="CR369" s="445"/>
      <c r="CS369" s="445"/>
      <c r="CT369" s="445"/>
      <c r="CU369" s="445"/>
      <c r="CV369" s="445"/>
      <c r="CW369" s="445"/>
      <c r="CX369" s="445"/>
      <c r="CY369" s="445"/>
      <c r="CZ369" s="445"/>
      <c r="DA369" s="445"/>
      <c r="DB369" s="445"/>
      <c r="DC369" s="445"/>
      <c r="DD369" s="445"/>
      <c r="DE369" s="445"/>
      <c r="DF369" s="445"/>
      <c r="DG369" s="445"/>
      <c r="DH369" s="445"/>
      <c r="DI369" s="445"/>
      <c r="DJ369" s="445"/>
      <c r="DK369" s="445"/>
      <c r="DL369" s="445"/>
      <c r="DM369" s="445"/>
      <c r="DN369" s="445"/>
      <c r="DO369" s="445"/>
      <c r="DP369" s="445"/>
      <c r="DQ369" s="445"/>
      <c r="DR369" s="445"/>
      <c r="DS369" s="445"/>
      <c r="DT369" s="445"/>
      <c r="DU369" s="445"/>
      <c r="DV369" s="445"/>
      <c r="DW369" s="445"/>
      <c r="DX369" s="445"/>
      <c r="DY369" s="445"/>
      <c r="DZ369" s="445"/>
      <c r="EA369" s="445"/>
      <c r="EB369" s="445"/>
      <c r="EC369" s="445"/>
      <c r="ED369" s="445"/>
      <c r="EE369" s="445"/>
      <c r="EF369" s="445"/>
      <c r="EG369" s="445"/>
      <c r="EH369" s="445"/>
      <c r="EI369" s="445"/>
      <c r="EJ369" s="445"/>
      <c r="EK369" s="445"/>
      <c r="EL369" s="445"/>
      <c r="EM369" s="445"/>
      <c r="EN369" s="445"/>
      <c r="EO369" s="445"/>
      <c r="EP369" s="445"/>
      <c r="EQ369" s="445"/>
      <c r="ER369" s="445"/>
      <c r="ES369" s="445"/>
      <c r="ET369" s="445"/>
      <c r="EU369" s="445"/>
      <c r="EV369" s="445"/>
      <c r="EW369" s="445"/>
      <c r="EX369" s="445"/>
      <c r="EY369" s="445"/>
      <c r="EZ369" s="445"/>
      <c r="FA369" s="445"/>
      <c r="FB369" s="445"/>
      <c r="FC369" s="445"/>
      <c r="FD369" s="445"/>
      <c r="FE369" s="445"/>
      <c r="FF369" s="445"/>
      <c r="FG369" s="445"/>
      <c r="FH369" s="445"/>
      <c r="FI369" s="445"/>
      <c r="FJ369" s="445"/>
      <c r="FK369" s="445"/>
      <c r="FL369" s="445"/>
      <c r="FM369" s="445"/>
      <c r="FN369" s="445"/>
      <c r="FO369" s="445"/>
      <c r="FP369" s="445"/>
    </row>
    <row r="370" spans="1:172" s="462" customFormat="1" x14ac:dyDescent="0.3">
      <c r="B370" s="463"/>
      <c r="C370" s="464"/>
      <c r="D370" s="545"/>
      <c r="E370" s="464"/>
      <c r="F370" s="465"/>
      <c r="I370" s="493"/>
      <c r="J370" s="490"/>
      <c r="K370"/>
    </row>
    <row r="378" spans="1:172" x14ac:dyDescent="0.3">
      <c r="B378" s="466" t="str">
        <f>Data!K164</f>
        <v>Department/Center</v>
      </c>
    </row>
    <row r="379" spans="1:172" ht="27.6" x14ac:dyDescent="0.3">
      <c r="B379" s="446" t="str">
        <f>IF(Data!K165=0,"",Data!K165)</f>
        <v>AES - Academic &amp; Enrollment Services</v>
      </c>
      <c r="C379" s="445"/>
      <c r="D379" s="491"/>
      <c r="E379" s="445"/>
      <c r="F379" s="445"/>
      <c r="I379" s="445"/>
      <c r="J379" s="455" t="s">
        <v>233</v>
      </c>
    </row>
    <row r="380" spans="1:172" ht="27.6" x14ac:dyDescent="0.3">
      <c r="B380" s="446" t="str">
        <f>IF(Data!K166=0,"",Data!K166)</f>
        <v>AML - Additive Manufacturing Laboratory</v>
      </c>
      <c r="C380" s="445"/>
      <c r="D380" s="491"/>
      <c r="E380" s="445"/>
      <c r="F380" s="445"/>
      <c r="I380" s="445"/>
      <c r="J380" s="455" t="s">
        <v>635</v>
      </c>
    </row>
    <row r="381" spans="1:172" ht="27.6" x14ac:dyDescent="0.3">
      <c r="B381" s="446" t="str">
        <f>IF(Data!K167=0,"",Data!K167)</f>
        <v>AMP - Advanced Materials &amp; Processing Laboratory</v>
      </c>
      <c r="C381" s="445"/>
      <c r="D381" s="491"/>
      <c r="E381" s="445"/>
      <c r="F381" s="445"/>
      <c r="I381" s="445"/>
      <c r="J381" s="455" t="s">
        <v>219</v>
      </c>
    </row>
    <row r="382" spans="1:172" x14ac:dyDescent="0.3">
      <c r="B382" s="446" t="str">
        <f>IF(Data!K168=0,"",Data!K168)</f>
        <v>AS - Atmospheric Sciences</v>
      </c>
      <c r="C382" s="445"/>
      <c r="D382" s="491"/>
      <c r="E382" s="445"/>
      <c r="F382" s="445"/>
      <c r="I382" s="445"/>
      <c r="J382" s="455" t="s">
        <v>213</v>
      </c>
    </row>
    <row r="383" spans="1:172" x14ac:dyDescent="0.3">
      <c r="B383" s="446" t="str">
        <f>IF(Data!K169=0,"",Data!K169)</f>
        <v>ATHL - Athletics</v>
      </c>
      <c r="C383" s="445"/>
      <c r="D383" s="491"/>
      <c r="E383" s="445"/>
      <c r="F383" s="445"/>
      <c r="I383" s="445"/>
      <c r="J383" s="455" t="s">
        <v>225</v>
      </c>
    </row>
    <row r="384" spans="1:172" x14ac:dyDescent="0.3">
      <c r="B384" s="446" t="str">
        <f>IF(Data!K170=0,"",Data!K170)</f>
        <v>BIO - Bioenergy Center</v>
      </c>
      <c r="C384" s="445"/>
      <c r="D384" s="491"/>
      <c r="E384" s="445"/>
      <c r="F384" s="445"/>
      <c r="I384" s="445"/>
      <c r="J384" s="445"/>
    </row>
    <row r="385" spans="2:10" ht="27.6" x14ac:dyDescent="0.3">
      <c r="B385" s="446" t="str">
        <f>IF(Data!K171=0,"",Data!K171)</f>
        <v>BIO STNR - BioSystems Networks / Transitional Research</v>
      </c>
      <c r="C385" s="445"/>
      <c r="D385" s="491"/>
      <c r="E385" s="445"/>
      <c r="F385" s="445"/>
      <c r="I385" s="445"/>
      <c r="J385" s="445"/>
    </row>
    <row r="386" spans="2:10" x14ac:dyDescent="0.3">
      <c r="B386" s="446" t="str">
        <f>IF(Data!K172=0,"",Data!K172)</f>
        <v>BOOK - Book Store</v>
      </c>
      <c r="C386" s="445"/>
      <c r="D386" s="491"/>
      <c r="E386" s="445"/>
      <c r="F386" s="445"/>
      <c r="I386" s="445"/>
      <c r="J386" s="445"/>
    </row>
    <row r="387" spans="2:10" ht="27.6" x14ac:dyDescent="0.3">
      <c r="B387" s="446" t="str">
        <f>IF(Data!K173=0,"",Data!K173)</f>
        <v>CABS - Chemical, Biology &amp; Health</v>
      </c>
      <c r="C387" s="445"/>
      <c r="D387" s="491"/>
      <c r="E387" s="445"/>
      <c r="F387" s="445"/>
      <c r="I387" s="445"/>
      <c r="J387" s="445"/>
    </row>
    <row r="388" spans="2:10" ht="41.4" x14ac:dyDescent="0.3">
      <c r="B388" s="446" t="str">
        <f>IF(Data!K174=0,"",Data!K174)</f>
        <v>CAMP - Center for Excellence of Advanced Manufacturing Production</v>
      </c>
      <c r="C388" s="445"/>
      <c r="D388" s="491"/>
      <c r="E388" s="445"/>
      <c r="F388" s="445"/>
      <c r="I388" s="445"/>
      <c r="J388" s="445"/>
    </row>
    <row r="389" spans="2:10" ht="27.6" x14ac:dyDescent="0.3">
      <c r="B389" s="446" t="str">
        <f>IF(Data!K175=0,"",Data!K175)</f>
        <v>CAPE - Composite And Ploymer Engineering Laboratory</v>
      </c>
      <c r="C389" s="445"/>
      <c r="D389" s="491"/>
      <c r="E389" s="445"/>
      <c r="F389" s="445"/>
      <c r="I389" s="445"/>
      <c r="J389" s="445"/>
    </row>
    <row r="390" spans="2:10" x14ac:dyDescent="0.3">
      <c r="B390" s="446" t="str">
        <f>IF(Data!K176=0,"",Data!K176)</f>
        <v>CAR PLAN - Career Planning</v>
      </c>
      <c r="C390" s="445"/>
      <c r="D390" s="491"/>
      <c r="E390" s="445"/>
      <c r="F390" s="445"/>
      <c r="I390" s="445"/>
      <c r="J390" s="445"/>
    </row>
    <row r="391" spans="2:10" ht="27.6" x14ac:dyDescent="0.3">
      <c r="B391" s="446" t="str">
        <f>IF(Data!K177=0,"",Data!K177)</f>
        <v>CBE - Chemical &amp; Biological Engineering</v>
      </c>
      <c r="C391" s="445"/>
      <c r="D391" s="491"/>
      <c r="E391" s="445"/>
      <c r="F391" s="445"/>
      <c r="I391" s="445"/>
      <c r="J391" s="445"/>
    </row>
    <row r="392" spans="2:10" ht="27.6" x14ac:dyDescent="0.3">
      <c r="B392" s="446" t="str">
        <f>IF(Data!K178=0,"",Data!K178)</f>
        <v>CBERD - Center for BioEnregy Research &amp; processing</v>
      </c>
      <c r="C392" s="445"/>
      <c r="D392" s="491"/>
      <c r="E392" s="445"/>
      <c r="F392" s="445"/>
      <c r="I392" s="445"/>
      <c r="J392" s="445"/>
    </row>
    <row r="393" spans="2:10" ht="27.6" x14ac:dyDescent="0.3">
      <c r="B393" s="446" t="str">
        <f>IF(Data!K179=0,"",Data!K179)</f>
        <v>CBRD - Center for Bioprocess Research &amp; Development</v>
      </c>
      <c r="C393" s="445"/>
      <c r="D393" s="491"/>
      <c r="E393" s="445"/>
      <c r="F393" s="445"/>
      <c r="I393" s="445"/>
      <c r="J393" s="445"/>
    </row>
    <row r="394" spans="2:10" ht="27.6" x14ac:dyDescent="0.3">
      <c r="B394" s="446" t="str">
        <f>IF(Data!K180=0,"",Data!K180)</f>
        <v>CEE - Civil &amp; Environmental Engineering</v>
      </c>
      <c r="C394" s="445"/>
      <c r="D394" s="491"/>
      <c r="E394" s="445"/>
      <c r="F394" s="445"/>
      <c r="I394" s="445"/>
      <c r="J394" s="445"/>
    </row>
    <row r="395" spans="2:10" ht="27.6" x14ac:dyDescent="0.3">
      <c r="B395" s="446" t="str">
        <f>IF(Data!K181=0,"",Data!K181)</f>
        <v>CFSP - Center for Friction Stir Processing</v>
      </c>
      <c r="C395" s="445"/>
      <c r="D395" s="491"/>
      <c r="E395" s="445"/>
      <c r="F395" s="445"/>
      <c r="I395" s="445"/>
      <c r="J395" s="445"/>
    </row>
    <row r="396" spans="2:10" x14ac:dyDescent="0.3">
      <c r="B396" s="446" t="str">
        <f>IF(Data!K182=0,"",Data!K182)</f>
        <v>CHEM - Chemistry</v>
      </c>
      <c r="C396" s="445"/>
      <c r="D396" s="491"/>
      <c r="E396" s="445"/>
      <c r="F396" s="445"/>
      <c r="I396" s="445"/>
      <c r="J396" s="445"/>
    </row>
    <row r="397" spans="2:10" ht="27.6" x14ac:dyDescent="0.3">
      <c r="B397" s="446" t="str">
        <f>IF(Data!K183=0,"",Data!K183)</f>
        <v>CML - Computational Mechanics Lab</v>
      </c>
      <c r="C397" s="445"/>
      <c r="D397" s="491"/>
      <c r="E397" s="445"/>
      <c r="F397" s="445"/>
      <c r="I397" s="445"/>
      <c r="J397" s="445"/>
    </row>
    <row r="398" spans="2:10" ht="27.6" x14ac:dyDescent="0.3">
      <c r="B398" s="446" t="str">
        <f>IF(Data!K184=0,"",Data!K184)</f>
        <v>CSE - Computer Science Engineering</v>
      </c>
      <c r="C398" s="445"/>
      <c r="D398" s="491"/>
      <c r="E398" s="445"/>
      <c r="F398" s="445"/>
      <c r="I398" s="445"/>
      <c r="J398" s="445"/>
    </row>
    <row r="399" spans="2:10" x14ac:dyDescent="0.3">
      <c r="B399" s="446" t="str">
        <f>IF(Data!K185=0,"",Data!K185)</f>
        <v>DEV - Devereaux Library</v>
      </c>
      <c r="C399" s="445"/>
      <c r="D399" s="491"/>
      <c r="E399" s="445"/>
      <c r="F399" s="445"/>
      <c r="I399" s="445"/>
      <c r="J399" s="445"/>
    </row>
    <row r="400" spans="2:10" ht="41.4" x14ac:dyDescent="0.3">
      <c r="B400" s="446" t="str">
        <f>IF(Data!K186=0,"",Data!K186)</f>
        <v>DUSEL - Deep Underground Science &amp; Engineering Laboratory</v>
      </c>
      <c r="C400" s="445"/>
      <c r="D400" s="491"/>
      <c r="E400" s="445"/>
      <c r="F400" s="445"/>
      <c r="I400" s="445"/>
      <c r="J400" s="445"/>
    </row>
    <row r="401" spans="2:10" x14ac:dyDescent="0.3">
      <c r="B401" s="446" t="str">
        <f>IF(Data!K187=0,"",Data!K187)</f>
        <v>ECDEV - Economic Development</v>
      </c>
      <c r="C401" s="445"/>
      <c r="D401" s="491"/>
      <c r="E401" s="445"/>
      <c r="F401" s="445"/>
      <c r="I401" s="445"/>
      <c r="J401" s="445"/>
    </row>
    <row r="402" spans="2:10" x14ac:dyDescent="0.3">
      <c r="B402" s="446" t="str">
        <f>IF(Data!K188=0,"",Data!K188)</f>
        <v>EE - Electrical Engineering</v>
      </c>
      <c r="C402" s="445"/>
      <c r="D402" s="491"/>
      <c r="E402" s="445"/>
      <c r="F402" s="445"/>
      <c r="I402" s="445"/>
      <c r="J402" s="445"/>
    </row>
    <row r="403" spans="2:10" ht="41.4" x14ac:dyDescent="0.3">
      <c r="B403" s="446" t="str">
        <f>IF(Data!K189=0,"",Data!K189)</f>
        <v>ECML - Expirmental &amp; Computational Mechanics Laboratory</v>
      </c>
      <c r="C403" s="445"/>
      <c r="D403" s="491"/>
      <c r="E403" s="445"/>
      <c r="F403" s="445"/>
      <c r="I403" s="445"/>
      <c r="J403" s="445"/>
    </row>
    <row r="404" spans="2:10" ht="27.6" x14ac:dyDescent="0.3">
      <c r="B404" s="446" t="str">
        <f>IF(Data!K190=0,"",Data!K190)</f>
        <v>EMES - Engineering &amp; Mining Experimentation Station</v>
      </c>
      <c r="C404" s="445"/>
      <c r="D404" s="491"/>
      <c r="E404" s="445"/>
      <c r="F404" s="445"/>
      <c r="I404" s="445"/>
      <c r="J404" s="445"/>
    </row>
    <row r="405" spans="2:10" ht="41.4" x14ac:dyDescent="0.3">
      <c r="B405" s="446" t="str">
        <f>IF(Data!K191=0,"",Data!K191)</f>
        <v>EPSCOR - Experimental Program to Stimulate Competitive Research</v>
      </c>
      <c r="C405" s="445"/>
      <c r="D405" s="491"/>
      <c r="E405" s="445"/>
      <c r="F405" s="445"/>
      <c r="I405" s="445"/>
      <c r="J405" s="445"/>
    </row>
    <row r="406" spans="2:10" x14ac:dyDescent="0.3">
      <c r="B406" s="446" t="str">
        <f>IF(Data!K192=0,"",Data!K192)</f>
        <v>FAO - Financial Aid Office</v>
      </c>
      <c r="C406" s="445"/>
      <c r="D406" s="491"/>
      <c r="E406" s="445"/>
      <c r="F406" s="445"/>
      <c r="I406" s="445"/>
      <c r="J406" s="445"/>
    </row>
    <row r="407" spans="2:10" x14ac:dyDescent="0.3">
      <c r="B407" s="446" t="str">
        <f>IF(Data!K193=0,"",Data!K193)</f>
        <v>FAC - Facility Maintenance</v>
      </c>
      <c r="C407" s="445"/>
      <c r="D407" s="491"/>
      <c r="E407" s="445"/>
      <c r="F407" s="445"/>
      <c r="I407" s="445"/>
      <c r="J407" s="445"/>
    </row>
    <row r="408" spans="2:10" ht="27.6" x14ac:dyDescent="0.3">
      <c r="B408" s="446" t="str">
        <f>IF(Data!K194=0,"",Data!K194)</f>
        <v>GEOL - Geology &amp; Geological Engineering</v>
      </c>
      <c r="C408" s="445"/>
      <c r="D408" s="491"/>
      <c r="E408" s="445"/>
      <c r="F408" s="445"/>
      <c r="I408" s="445"/>
      <c r="J408" s="445"/>
    </row>
    <row r="409" spans="2:10" x14ac:dyDescent="0.3">
      <c r="B409" s="446" t="str">
        <f>IF(Data!K195=0,"",Data!K195)</f>
        <v>HR - Human Resources</v>
      </c>
      <c r="C409" s="445"/>
      <c r="D409" s="491"/>
      <c r="E409" s="445"/>
      <c r="F409" s="445"/>
      <c r="I409" s="445"/>
      <c r="J409" s="445"/>
    </row>
    <row r="410" spans="2:10" x14ac:dyDescent="0.3">
      <c r="B410" s="446" t="str">
        <f>IF(Data!K196=0,"",Data!K196)</f>
        <v>HUM - Humanities</v>
      </c>
      <c r="C410" s="445"/>
      <c r="D410" s="491"/>
      <c r="E410" s="445"/>
      <c r="F410" s="445"/>
      <c r="I410" s="445"/>
      <c r="J410" s="445"/>
    </row>
    <row r="411" spans="2:10" x14ac:dyDescent="0.3">
      <c r="B411" s="446" t="str">
        <f>IF(Data!K197=0,"",Data!K197)</f>
        <v>IE - Industrial Engineering</v>
      </c>
      <c r="C411" s="445"/>
      <c r="D411" s="491"/>
      <c r="E411" s="445"/>
      <c r="F411" s="445"/>
      <c r="I411" s="445"/>
      <c r="J411" s="445"/>
    </row>
    <row r="412" spans="2:10" ht="27.6" x14ac:dyDescent="0.3">
      <c r="B412" s="446" t="str">
        <f>IF(Data!K198=0,"",Data!K198)</f>
        <v>IIC - Ivanhoe International Center</v>
      </c>
      <c r="C412" s="445"/>
      <c r="D412" s="491"/>
      <c r="E412" s="445"/>
      <c r="F412" s="445"/>
      <c r="I412" s="445"/>
      <c r="J412" s="445"/>
    </row>
    <row r="413" spans="2:10" x14ac:dyDescent="0.3">
      <c r="B413" s="446" t="str">
        <f>IF(Data!K199=0,"",Data!K199)</f>
        <v>IS - Interdisciplinary Studies</v>
      </c>
      <c r="C413" s="445"/>
      <c r="D413" s="491"/>
      <c r="E413" s="445"/>
      <c r="F413" s="445"/>
      <c r="I413" s="445"/>
      <c r="J413" s="445"/>
    </row>
    <row r="414" spans="2:10" ht="27.6" x14ac:dyDescent="0.3">
      <c r="B414" s="446" t="str">
        <f>IF(Data!K200=0,"",Data!K200)</f>
        <v>ITS - Information Technology Services</v>
      </c>
      <c r="C414" s="445"/>
      <c r="D414" s="491"/>
      <c r="E414" s="445"/>
      <c r="F414" s="445"/>
      <c r="I414" s="445"/>
      <c r="J414" s="445"/>
    </row>
    <row r="415" spans="2:10" x14ac:dyDescent="0.3">
      <c r="B415" s="446" t="str">
        <f>IF(Data!K201=0,"",Data!K201)</f>
        <v xml:space="preserve">MATH - Mathematics </v>
      </c>
      <c r="C415" s="445"/>
      <c r="D415" s="491"/>
      <c r="E415" s="445"/>
      <c r="F415" s="445"/>
      <c r="I415" s="445"/>
      <c r="J415" s="445"/>
    </row>
    <row r="416" spans="2:10" ht="27.6" x14ac:dyDescent="0.3">
      <c r="B416" s="446" t="str">
        <f>IF(Data!K202=0,"",Data!K202)</f>
        <v>MCE - Mining Center of Excellence</v>
      </c>
      <c r="C416" s="445"/>
      <c r="D416" s="491"/>
      <c r="E416" s="445"/>
      <c r="F416" s="445"/>
      <c r="I416" s="445"/>
      <c r="J416" s="445"/>
    </row>
    <row r="417" spans="2:10" x14ac:dyDescent="0.3">
      <c r="B417" s="446" t="str">
        <f>IF(Data!K203=0,"",Data!K203)</f>
        <v>ME - Mechanical Engineering</v>
      </c>
      <c r="C417" s="445"/>
      <c r="D417" s="491"/>
      <c r="E417" s="445"/>
      <c r="F417" s="445"/>
      <c r="I417" s="445"/>
      <c r="J417" s="445"/>
    </row>
    <row r="418" spans="2:10" ht="27.6" x14ac:dyDescent="0.3">
      <c r="B418" s="446" t="str">
        <f>IF(Data!K204=0,"",Data!K204)</f>
        <v>MEM - Mining Engineering &amp; Management</v>
      </c>
      <c r="C418" s="445"/>
      <c r="D418" s="491"/>
      <c r="E418" s="445"/>
      <c r="F418" s="445"/>
      <c r="I418" s="445"/>
      <c r="J418" s="445"/>
    </row>
    <row r="419" spans="2:10" ht="27.6" x14ac:dyDescent="0.3">
      <c r="B419" s="446" t="str">
        <f>IF(Data!K205=0,"",Data!K205)</f>
        <v>MET - Materials &amp; Metallurgical Engineering</v>
      </c>
      <c r="C419" s="445"/>
      <c r="D419" s="491"/>
      <c r="E419" s="445"/>
      <c r="F419" s="445"/>
      <c r="I419" s="445"/>
      <c r="J419" s="445"/>
    </row>
    <row r="420" spans="2:10" x14ac:dyDescent="0.3">
      <c r="B420" s="446" t="str">
        <f>IF(Data!K206=0,"",Data!K206)</f>
        <v>MS - Military Science</v>
      </c>
      <c r="C420" s="445"/>
      <c r="D420" s="491"/>
      <c r="E420" s="445"/>
      <c r="F420" s="445"/>
      <c r="I420" s="445"/>
      <c r="J420" s="445"/>
    </row>
    <row r="421" spans="2:10" x14ac:dyDescent="0.3">
      <c r="B421" s="446" t="str">
        <f>IF(Data!K207=0,"",Data!K207)</f>
        <v>MUSM - Museum of Geology</v>
      </c>
      <c r="C421" s="445"/>
      <c r="D421" s="491"/>
      <c r="E421" s="445"/>
      <c r="F421" s="445"/>
      <c r="I421" s="445"/>
      <c r="J421" s="445"/>
    </row>
    <row r="422" spans="2:10" ht="27.6" x14ac:dyDescent="0.3">
      <c r="B422" s="446" t="str">
        <f>IF(Data!K208=0,"",Data!K208)</f>
        <v>NANO - Nanoscience &amp; Engineering</v>
      </c>
      <c r="C422" s="445"/>
      <c r="D422" s="491"/>
      <c r="E422" s="445"/>
      <c r="F422" s="445"/>
      <c r="I422" s="445"/>
      <c r="J422" s="445"/>
    </row>
    <row r="423" spans="2:10" x14ac:dyDescent="0.3">
      <c r="B423" s="446" t="str">
        <f>IF(Data!K209=0,"",Data!K209)</f>
        <v>NASA-EPSCoR</v>
      </c>
      <c r="C423" s="445"/>
      <c r="D423" s="491"/>
      <c r="E423" s="445"/>
      <c r="F423" s="445"/>
      <c r="I423" s="445"/>
      <c r="J423" s="445"/>
    </row>
    <row r="424" spans="2:10" ht="27.6" x14ac:dyDescent="0.3">
      <c r="B424" s="446" t="str">
        <f>IF(Data!K210=0,"",Data!K210)</f>
        <v>OGE - Office of Graduate Education</v>
      </c>
      <c r="C424" s="445"/>
      <c r="D424" s="491"/>
      <c r="E424" s="445"/>
      <c r="F424" s="445"/>
      <c r="I424" s="445"/>
      <c r="J424" s="445"/>
    </row>
    <row r="425" spans="2:10" ht="27.6" x14ac:dyDescent="0.3">
      <c r="B425" s="446" t="str">
        <f>IF(Data!K211=0,"",Data!K211)</f>
        <v>OMA - Office of Multicultural Affairs</v>
      </c>
      <c r="C425" s="445"/>
      <c r="D425" s="491"/>
      <c r="E425" s="445"/>
      <c r="F425" s="445"/>
      <c r="I425" s="445"/>
      <c r="J425" s="445"/>
    </row>
    <row r="426" spans="2:10" x14ac:dyDescent="0.3">
      <c r="B426" s="446" t="str">
        <f>IF(Data!K212=0,"",Data!K212)</f>
        <v>ORA - Office of Research Affairs</v>
      </c>
      <c r="C426" s="445"/>
      <c r="D426" s="491"/>
      <c r="E426" s="445"/>
      <c r="F426" s="445"/>
      <c r="I426" s="445"/>
      <c r="J426" s="445"/>
    </row>
    <row r="427" spans="2:10" x14ac:dyDescent="0.3">
      <c r="B427" s="446" t="str">
        <f>IF(Data!K213=0,"",Data!K213)</f>
        <v>PHY - Physical Education</v>
      </c>
      <c r="C427" s="445"/>
      <c r="D427" s="491"/>
      <c r="E427" s="445"/>
      <c r="F427" s="445"/>
      <c r="I427" s="445"/>
      <c r="J427" s="445"/>
    </row>
    <row r="428" spans="2:10" x14ac:dyDescent="0.3">
      <c r="B428" s="446" t="str">
        <f>IF(Data!K214=0,"",Data!K214)</f>
        <v>PHYSICS - Physics</v>
      </c>
      <c r="C428" s="445"/>
      <c r="D428" s="491"/>
      <c r="E428" s="445"/>
      <c r="F428" s="445"/>
      <c r="I428" s="445"/>
      <c r="J428" s="445"/>
    </row>
    <row r="429" spans="2:10" x14ac:dyDescent="0.3">
      <c r="B429" s="446" t="str">
        <f>IF(Data!K215=0,"",Data!K215)</f>
        <v>PP - Physical Plant</v>
      </c>
      <c r="C429" s="445"/>
      <c r="D429" s="491"/>
      <c r="E429" s="445"/>
      <c r="F429" s="445"/>
      <c r="I429" s="445"/>
      <c r="J429" s="445"/>
    </row>
    <row r="430" spans="2:10" x14ac:dyDescent="0.3">
      <c r="B430" s="446" t="str">
        <f>IF(Data!K216=0,"",Data!K216)</f>
        <v>PRES - President's Office</v>
      </c>
      <c r="C430" s="445"/>
      <c r="D430" s="491"/>
      <c r="E430" s="445"/>
      <c r="F430" s="445"/>
      <c r="I430" s="445"/>
      <c r="J430" s="445"/>
    </row>
    <row r="431" spans="2:10" ht="27.6" x14ac:dyDescent="0.3">
      <c r="B431" s="446" t="str">
        <f>IF(Data!K217=0,"",Data!K217)</f>
        <v>R3S - Repair, Refurbish &amp; Return to Service Center</v>
      </c>
      <c r="C431" s="445"/>
      <c r="D431" s="491"/>
      <c r="E431" s="445"/>
      <c r="F431" s="445"/>
      <c r="I431" s="445"/>
      <c r="J431" s="445"/>
    </row>
    <row r="432" spans="2:10" ht="27.6" x14ac:dyDescent="0.3">
      <c r="B432" s="446" t="str">
        <f>IF(Data!K218=0,"",Data!K218)</f>
        <v>RERL - Renewable Energy Research Laboratory</v>
      </c>
      <c r="C432" s="445"/>
      <c r="D432" s="491"/>
      <c r="E432" s="445"/>
      <c r="F432" s="445"/>
      <c r="I432" s="445"/>
      <c r="J432" s="445"/>
    </row>
    <row r="433" spans="2:10" x14ac:dyDescent="0.3">
      <c r="B433" s="446" t="str">
        <f>IF(Data!K219=0,"",Data!K219)</f>
        <v>SDSG - Space Grant Consortium</v>
      </c>
      <c r="C433" s="445"/>
      <c r="D433" s="491"/>
      <c r="E433" s="445"/>
      <c r="F433" s="445"/>
      <c r="I433" s="445"/>
      <c r="J433" s="445"/>
    </row>
    <row r="434" spans="2:10" ht="27.6" x14ac:dyDescent="0.3">
      <c r="B434" s="446" t="str">
        <f>IF(Data!K220=0,"",Data!K220)</f>
        <v>SERC - Surface Engineering Research Center</v>
      </c>
      <c r="C434" s="445"/>
      <c r="D434" s="491"/>
      <c r="E434" s="445"/>
      <c r="F434" s="445"/>
      <c r="I434" s="445"/>
      <c r="J434" s="445"/>
    </row>
    <row r="435" spans="2:10" ht="27.6" x14ac:dyDescent="0.3">
      <c r="B435" s="446" t="str">
        <f>IF(Data!K221=0,"",Data!K221)</f>
        <v>SKILL - Scientific Knowledge for Indian Learning &amp; Leadership</v>
      </c>
      <c r="C435" s="445"/>
      <c r="D435" s="491"/>
      <c r="E435" s="445"/>
      <c r="F435" s="445"/>
      <c r="I435" s="445"/>
      <c r="J435" s="445"/>
    </row>
    <row r="436" spans="2:10" x14ac:dyDescent="0.3">
      <c r="B436" s="446" t="str">
        <f>IF(Data!K222=0,"",Data!K222)</f>
        <v xml:space="preserve">SS - Social Sciences </v>
      </c>
      <c r="C436" s="445"/>
      <c r="D436" s="491"/>
      <c r="E436" s="445"/>
      <c r="F436" s="445"/>
      <c r="I436" s="445"/>
      <c r="J436" s="445"/>
    </row>
    <row r="437" spans="2:10" ht="41.4" x14ac:dyDescent="0.3">
      <c r="B437" s="446" t="str">
        <f>IF(Data!K223=0,"",Data!K223)</f>
        <v>SPACT - Center for Security Printing and Anti-Counterfeiting Technology</v>
      </c>
      <c r="C437" s="445"/>
      <c r="D437" s="491"/>
      <c r="E437" s="445"/>
      <c r="F437" s="445"/>
      <c r="I437" s="445"/>
      <c r="J437" s="445"/>
    </row>
    <row r="438" spans="2:10" x14ac:dyDescent="0.3">
      <c r="B438" s="446" t="str">
        <f>IF(Data!K224=0,"",Data!K224)</f>
        <v>SUR - Surbeck Center</v>
      </c>
      <c r="C438" s="445"/>
      <c r="D438" s="491"/>
      <c r="E438" s="445"/>
      <c r="F438" s="445"/>
      <c r="I438" s="445"/>
      <c r="J438" s="445"/>
    </row>
    <row r="439" spans="2:10" ht="27.6" x14ac:dyDescent="0.3">
      <c r="B439" s="446" t="str">
        <f>IF(Data!K225=0,"",Data!K225)</f>
        <v>UPR - University &amp; Public Relations</v>
      </c>
      <c r="C439" s="445"/>
      <c r="D439" s="491"/>
      <c r="E439" s="445"/>
      <c r="F439" s="445"/>
      <c r="I439" s="445"/>
      <c r="J439" s="445"/>
    </row>
    <row r="440" spans="2:10" ht="27.6" x14ac:dyDescent="0.3">
      <c r="B440" s="446" t="str">
        <f>IF(Data!K226=0,"",Data!K226)</f>
        <v>VPAA - Provost/Academic Affairs</v>
      </c>
      <c r="C440" s="445"/>
      <c r="D440" s="491"/>
      <c r="E440" s="445"/>
      <c r="F440" s="445"/>
      <c r="I440" s="445"/>
      <c r="J440" s="445"/>
    </row>
    <row r="441" spans="2:10" x14ac:dyDescent="0.3">
      <c r="B441" s="446" t="str">
        <f>IF(Data!K227=0,"",Data!K227)</f>
        <v>VPFA - Finance &amp; Administration</v>
      </c>
      <c r="C441" s="445"/>
      <c r="D441" s="491"/>
      <c r="E441" s="445"/>
      <c r="F441" s="445"/>
      <c r="I441" s="445"/>
      <c r="J441" s="445"/>
    </row>
    <row r="442" spans="2:10" x14ac:dyDescent="0.3">
      <c r="B442" s="446" t="str">
        <f>IF(Data!K228=0,"",Data!K228)</f>
        <v>VPRA - Research Affairs</v>
      </c>
      <c r="C442" s="445"/>
      <c r="D442" s="491"/>
      <c r="E442" s="445"/>
      <c r="F442" s="445"/>
      <c r="I442" s="445"/>
      <c r="J442" s="445"/>
    </row>
    <row r="443" spans="2:10" x14ac:dyDescent="0.3">
      <c r="B443" s="446" t="str">
        <f>IF(Data!K229=0,"",Data!K229)</f>
        <v>VPSA - Student Affairs</v>
      </c>
      <c r="C443" s="445"/>
      <c r="D443" s="491"/>
      <c r="E443" s="445"/>
      <c r="F443" s="445"/>
      <c r="I443" s="445"/>
      <c r="J443" s="445"/>
    </row>
    <row r="444" spans="2:10" x14ac:dyDescent="0.3">
      <c r="B444" s="446">
        <f>IF(Data!K230=0,"",Data!K230)</f>
        <v>1</v>
      </c>
      <c r="C444" s="445"/>
      <c r="D444" s="491"/>
      <c r="E444" s="445"/>
      <c r="F444" s="445"/>
      <c r="I444" s="445"/>
      <c r="J444" s="445"/>
    </row>
    <row r="445" spans="2:10" x14ac:dyDescent="0.3">
      <c r="B445" s="446">
        <f>IF(Data!K231=0,"",Data!K231)</f>
        <v>2</v>
      </c>
      <c r="C445" s="445"/>
      <c r="D445" s="491"/>
      <c r="E445" s="445"/>
      <c r="F445" s="445"/>
      <c r="I445" s="445"/>
      <c r="J445" s="445"/>
    </row>
    <row r="446" spans="2:10" x14ac:dyDescent="0.3">
      <c r="B446" s="446">
        <f>IF(Data!K232=0,"",Data!K232)</f>
        <v>3</v>
      </c>
      <c r="C446" s="445"/>
      <c r="D446" s="491"/>
      <c r="E446" s="445"/>
      <c r="F446" s="445"/>
      <c r="I446" s="445"/>
      <c r="J446" s="445"/>
    </row>
    <row r="447" spans="2:10" x14ac:dyDescent="0.3">
      <c r="B447" s="446">
        <f>IF(Data!K233=0,"",Data!K233)</f>
        <v>4</v>
      </c>
      <c r="C447" s="445"/>
      <c r="D447" s="491"/>
      <c r="E447" s="445"/>
      <c r="F447" s="445"/>
      <c r="I447" s="445"/>
      <c r="J447" s="445"/>
    </row>
    <row r="448" spans="2:10" x14ac:dyDescent="0.3">
      <c r="B448" s="446">
        <f>IF(Data!K234=0,"",Data!K234)</f>
        <v>5</v>
      </c>
      <c r="C448" s="445"/>
      <c r="D448" s="491"/>
      <c r="E448" s="445"/>
      <c r="F448" s="445"/>
      <c r="I448" s="445"/>
      <c r="J448" s="445"/>
    </row>
    <row r="449" spans="2:10" x14ac:dyDescent="0.3">
      <c r="B449" s="446">
        <f>IF(Data!K235=0,"",Data!K235)</f>
        <v>6</v>
      </c>
      <c r="C449" s="445"/>
      <c r="D449" s="491"/>
      <c r="E449" s="445"/>
      <c r="F449" s="445"/>
      <c r="I449" s="445"/>
      <c r="J449" s="445"/>
    </row>
    <row r="450" spans="2:10" x14ac:dyDescent="0.3">
      <c r="B450" s="446">
        <f>IF(Data!K236=0,"",Data!K236)</f>
        <v>7</v>
      </c>
      <c r="C450" s="445"/>
      <c r="D450" s="491"/>
      <c r="E450" s="445"/>
      <c r="F450" s="445"/>
      <c r="I450" s="445"/>
      <c r="J450" s="445"/>
    </row>
    <row r="451" spans="2:10" x14ac:dyDescent="0.3">
      <c r="B451" s="446">
        <f>IF(Data!K237=0,"",Data!K237)</f>
        <v>8</v>
      </c>
      <c r="C451" s="445"/>
      <c r="D451" s="491"/>
      <c r="E451" s="445"/>
      <c r="F451" s="445"/>
      <c r="I451" s="445"/>
      <c r="J451" s="445"/>
    </row>
    <row r="452" spans="2:10" ht="27.6" x14ac:dyDescent="0.3">
      <c r="B452" s="446" t="str">
        <f>IF(Data!K238=0,"",Data!K238)</f>
        <v>Please Select a Department from the List Above</v>
      </c>
      <c r="C452" s="445"/>
      <c r="D452" s="491"/>
      <c r="E452" s="445"/>
      <c r="F452" s="445"/>
      <c r="I452" s="445"/>
      <c r="J452" s="445"/>
    </row>
    <row r="456" spans="2:10" x14ac:dyDescent="0.3">
      <c r="B456" s="446" t="str">
        <f>IF(Data!K239=0,"",Data!K239)</f>
        <v/>
      </c>
      <c r="C456" s="445"/>
      <c r="D456" s="491"/>
      <c r="E456" s="445"/>
      <c r="F456" s="445"/>
      <c r="I456" s="445"/>
      <c r="J456" s="445"/>
    </row>
    <row r="457" spans="2:10" x14ac:dyDescent="0.3">
      <c r="B457" s="446" t="str">
        <f>IF(Data!K240=0,"",Data!K240)</f>
        <v/>
      </c>
      <c r="C457" s="445"/>
      <c r="D457" s="491"/>
      <c r="E457" s="445"/>
      <c r="F457" s="445"/>
      <c r="I457" s="445"/>
      <c r="J457" s="445"/>
    </row>
    <row r="458" spans="2:10" x14ac:dyDescent="0.3">
      <c r="B458" s="446" t="str">
        <f>IF(Data!K241=0,"",Data!K241)</f>
        <v/>
      </c>
      <c r="C458" s="445"/>
      <c r="D458" s="491"/>
      <c r="E458" s="445"/>
      <c r="F458" s="445"/>
      <c r="I458" s="445"/>
      <c r="J458" s="445"/>
    </row>
    <row r="459" spans="2:10" x14ac:dyDescent="0.3">
      <c r="B459" s="446" t="str">
        <f>IF(Data!K242=0,"",Data!K242)</f>
        <v/>
      </c>
      <c r="C459" s="445"/>
      <c r="D459" s="491"/>
      <c r="E459" s="445"/>
      <c r="F459" s="445"/>
      <c r="I459" s="445"/>
      <c r="J459" s="445"/>
    </row>
    <row r="460" spans="2:10" x14ac:dyDescent="0.3">
      <c r="B460" s="446" t="str">
        <f>IF(Data!K243=0,"",Data!K243)</f>
        <v/>
      </c>
      <c r="C460" s="445"/>
      <c r="D460" s="491"/>
      <c r="E460" s="445"/>
      <c r="F460" s="445"/>
      <c r="I460" s="445"/>
      <c r="J460" s="445"/>
    </row>
    <row r="461" spans="2:10" x14ac:dyDescent="0.3">
      <c r="B461" s="446" t="str">
        <f>IF(Data!K244=0,"",Data!K244)</f>
        <v/>
      </c>
      <c r="C461" s="445"/>
      <c r="D461" s="491"/>
      <c r="E461" s="445"/>
      <c r="F461" s="445"/>
      <c r="I461" s="445"/>
      <c r="J461" s="445"/>
    </row>
    <row r="462" spans="2:10" x14ac:dyDescent="0.3">
      <c r="B462" s="446" t="str">
        <f>IF(Data!K245=0,"",Data!K245)</f>
        <v/>
      </c>
      <c r="C462" s="445"/>
      <c r="D462" s="491"/>
      <c r="E462" s="445"/>
      <c r="F462" s="445"/>
      <c r="I462" s="445"/>
      <c r="J462" s="445"/>
    </row>
    <row r="463" spans="2:10" x14ac:dyDescent="0.3">
      <c r="B463" s="446" t="str">
        <f>IF(Data!K246=0,"",Data!K246)</f>
        <v/>
      </c>
      <c r="C463" s="445"/>
      <c r="D463" s="491"/>
      <c r="E463" s="445"/>
      <c r="F463" s="445"/>
      <c r="I463" s="445"/>
      <c r="J463" s="445"/>
    </row>
    <row r="464" spans="2:10" x14ac:dyDescent="0.3">
      <c r="B464" s="446" t="str">
        <f>IF(Data!K247=0,"",Data!K247)</f>
        <v/>
      </c>
      <c r="C464" s="445"/>
      <c r="D464" s="491"/>
      <c r="E464" s="445"/>
      <c r="F464" s="445"/>
      <c r="I464" s="445"/>
      <c r="J464" s="445"/>
    </row>
  </sheetData>
  <sheetProtection algorithmName="SHA-512" hashValue="xLy2rIJM5gqBFAgDL6vQDRUFN/UOUMSezCoH8y0PSSjX9SJxnT8PGVAy3q/XgO8k9IJi7OWCx5+dzTAnFjvbJg==" saltValue="oCyYElnpiyUEJUy0zrkErQ==" spinCount="100000" sheet="1" objects="1" scenarios="1"/>
  <sortState xmlns:xlrd2="http://schemas.microsoft.com/office/spreadsheetml/2017/richdata2" ref="A2:J239">
    <sortCondition ref="A2:A115"/>
  </sortState>
  <dataValidations count="5">
    <dataValidation type="list" allowBlank="1" showInputMessage="1" showErrorMessage="1" errorTitle="BEEEEEEEEP!!!!!!" error="Duh. That wasn't from the list goober. Please try again." promptTitle="DEPARTMENT" prompt="Please select a Department from the following list." sqref="B363:B366 B352:B358" xr:uid="{00000000-0002-0000-0100-000001000000}">
      <formula1>$B$379:$B$455</formula1>
    </dataValidation>
    <dataValidation type="list" allowBlank="1" showInputMessage="1" showErrorMessage="1" errorTitle="BEEEEEEEEP!!!!!!" error="Duh. That wasn't from the list goober. Please try again." promptTitle="DEPARTMENT" prompt="Please select a Department from the following list." sqref="B359:B362" xr:uid="{00000000-0002-0000-0100-000002000000}">
      <formula1>$B$378:$B$454</formula1>
    </dataValidation>
    <dataValidation type="list" allowBlank="1" showInputMessage="1" showErrorMessage="1" errorTitle="BEEEEEEEEP!!!!!!" error="Duh. That wasn't from the list goober. Please try again." promptTitle="DEPARTMENT" prompt="Please select a Department from the following list." sqref="B347:B351 B68 B179 B229 B216" xr:uid="{00000000-0002-0000-0100-000003000000}">
      <formula1>$C$380:$C$456</formula1>
    </dataValidation>
    <dataValidation type="list" allowBlank="1" showInputMessage="1" showErrorMessage="1" errorTitle="BEEEEEEEEP!!!!!!" error="Duh. That wasn't from the list goober. Please try again." promptTitle="DEPARTMENT" prompt="Please select a Department from the following list." sqref="B2:B25 B217:B228 B29:B67 B69:B178 B180:B215 B230:B346" xr:uid="{2A3CF70E-94A4-4CDF-ADBA-285D4EF6E459}">
      <formula1>$B$380:$B$456</formula1>
    </dataValidation>
    <dataValidation type="list" allowBlank="1" showInputMessage="1" showErrorMessage="1" errorTitle="BEEEEEEEEP!!!!!!" error="Duh. That wasn't from the list goober. Please try again." promptTitle="DEPARTMENT" prompt="Please select a Department from the following list." sqref="B26:B28" xr:uid="{B050181A-735C-4094-BC37-74B58D3D2041}">
      <formula1>$B$381:$B$457</formula1>
    </dataValidation>
  </dataValidations>
  <pageMargins left="0.75" right="0.75" top="1" bottom="1" header="0.5" footer="0.5"/>
  <pageSetup scale="7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S87"/>
  <sheetViews>
    <sheetView topLeftCell="A31" workbookViewId="0">
      <selection activeCell="E12" sqref="E12"/>
    </sheetView>
  </sheetViews>
  <sheetFormatPr defaultColWidth="8" defaultRowHeight="13.8" x14ac:dyDescent="0.3"/>
  <cols>
    <col min="1" max="1" width="5.109375" style="237" customWidth="1"/>
    <col min="2" max="2" width="8" style="237" customWidth="1"/>
    <col min="3" max="3" width="5.109375" style="237" customWidth="1"/>
    <col min="4" max="4" width="33.6640625" style="237" customWidth="1"/>
    <col min="5" max="5" width="9.21875" style="244" customWidth="1"/>
    <col min="6" max="6" width="0.88671875" style="244" customWidth="1"/>
    <col min="7" max="7" width="7.109375" style="244" customWidth="1"/>
    <col min="8" max="8" width="0.88671875" style="244" customWidth="1"/>
    <col min="9" max="9" width="7.109375" style="244" customWidth="1"/>
    <col min="10" max="10" width="0.88671875" style="244" customWidth="1"/>
    <col min="11" max="11" width="8.21875" style="244" customWidth="1"/>
    <col min="12" max="12" width="4.88671875" style="237" customWidth="1"/>
    <col min="13" max="13" width="8" style="237" customWidth="1"/>
    <col min="14" max="14" width="3.109375" style="237" customWidth="1"/>
    <col min="15" max="16384" width="8" style="237"/>
  </cols>
  <sheetData>
    <row r="1" spans="2:19" ht="33" customHeight="1" x14ac:dyDescent="0.4">
      <c r="C1" s="710" t="s">
        <v>659</v>
      </c>
      <c r="D1" s="710"/>
      <c r="E1" s="710"/>
      <c r="F1" s="710"/>
      <c r="G1" s="710"/>
      <c r="H1" s="710"/>
      <c r="I1" s="710"/>
      <c r="J1" s="710"/>
      <c r="K1" s="710"/>
      <c r="L1" s="710"/>
    </row>
    <row r="2" spans="2:19" ht="24" customHeight="1" x14ac:dyDescent="0.4">
      <c r="C2" s="713" t="s">
        <v>660</v>
      </c>
      <c r="D2" s="713"/>
      <c r="E2" s="713"/>
      <c r="F2" s="713"/>
      <c r="G2" s="713"/>
      <c r="H2" s="713"/>
      <c r="I2" s="713"/>
      <c r="J2" s="713"/>
      <c r="K2" s="713"/>
      <c r="L2" s="713"/>
    </row>
    <row r="3" spans="2:19" ht="25.5" customHeight="1" x14ac:dyDescent="0.3">
      <c r="C3" s="711" t="s">
        <v>661</v>
      </c>
      <c r="D3" s="711"/>
      <c r="E3" s="711"/>
      <c r="F3" s="711"/>
      <c r="G3" s="711"/>
      <c r="H3" s="711"/>
      <c r="I3" s="711"/>
      <c r="J3" s="711"/>
      <c r="K3" s="711"/>
    </row>
    <row r="4" spans="2:19" ht="9.75" customHeight="1" x14ac:dyDescent="0.3">
      <c r="C4" s="599"/>
      <c r="D4" s="599"/>
      <c r="E4" s="599"/>
      <c r="F4" s="599"/>
      <c r="G4" s="599"/>
      <c r="H4" s="599"/>
      <c r="I4" s="599"/>
      <c r="J4" s="599"/>
      <c r="K4" s="599"/>
    </row>
    <row r="5" spans="2:19" ht="47.25" customHeight="1" x14ac:dyDescent="0.3">
      <c r="B5" s="712">
        <f>'YEAR 1'!D4</f>
        <v>0</v>
      </c>
      <c r="C5" s="712"/>
      <c r="D5" s="712"/>
      <c r="E5" s="712"/>
      <c r="F5" s="712"/>
      <c r="G5" s="712"/>
      <c r="H5" s="712"/>
      <c r="I5" s="712"/>
      <c r="J5" s="712"/>
      <c r="K5" s="712"/>
      <c r="L5" s="238"/>
      <c r="M5" s="238"/>
      <c r="N5" s="239" t="s">
        <v>179</v>
      </c>
      <c r="O5" s="238"/>
      <c r="P5" s="238"/>
      <c r="Q5" s="238"/>
      <c r="R5" s="238"/>
      <c r="S5" s="238"/>
    </row>
    <row r="6" spans="2:19" ht="15.6" x14ac:dyDescent="0.3">
      <c r="B6" s="714" t="str">
        <f>'YEAR 1'!D5</f>
        <v>Year One:  January 0, 1900 - December 30, 1900</v>
      </c>
      <c r="C6" s="714"/>
      <c r="D6" s="714"/>
      <c r="E6" s="714"/>
      <c r="F6" s="714"/>
      <c r="G6" s="714"/>
      <c r="H6" s="714"/>
      <c r="I6" s="714"/>
      <c r="J6" s="714"/>
      <c r="K6" s="714"/>
    </row>
    <row r="7" spans="2:19" ht="18" x14ac:dyDescent="0.35">
      <c r="B7" s="708"/>
      <c r="C7" s="708"/>
      <c r="D7" s="708"/>
      <c r="E7" s="708"/>
      <c r="F7" s="708"/>
      <c r="G7" s="708"/>
      <c r="H7" s="708"/>
      <c r="I7" s="708"/>
      <c r="J7" s="708"/>
      <c r="K7" s="708"/>
    </row>
    <row r="8" spans="2:19" ht="2.25" customHeight="1" x14ac:dyDescent="0.3">
      <c r="B8" s="709"/>
      <c r="C8" s="709"/>
      <c r="D8" s="709"/>
      <c r="E8" s="709"/>
      <c r="F8" s="709"/>
      <c r="G8" s="709"/>
      <c r="H8" s="709"/>
      <c r="I8" s="709"/>
      <c r="J8" s="709"/>
      <c r="K8" s="709"/>
    </row>
    <row r="9" spans="2:19" s="240" customFormat="1" ht="15.6" x14ac:dyDescent="0.2">
      <c r="B9" s="598"/>
      <c r="C9" s="598"/>
      <c r="D9" s="598"/>
      <c r="E9" s="707"/>
      <c r="F9" s="707"/>
      <c r="G9" s="707"/>
      <c r="H9" s="707"/>
      <c r="I9" s="707"/>
      <c r="J9" s="707"/>
      <c r="K9" s="707"/>
    </row>
    <row r="10" spans="2:19" ht="41.4" x14ac:dyDescent="0.3">
      <c r="B10" s="241" t="s">
        <v>662</v>
      </c>
      <c r="C10" s="241"/>
      <c r="D10" s="241"/>
      <c r="E10" s="242" t="s">
        <v>663</v>
      </c>
      <c r="F10" s="242"/>
      <c r="G10" s="242" t="s">
        <v>664</v>
      </c>
      <c r="H10" s="242"/>
      <c r="I10" s="242" t="s">
        <v>665</v>
      </c>
      <c r="J10" s="242"/>
      <c r="K10" s="243" t="s">
        <v>666</v>
      </c>
    </row>
    <row r="11" spans="2:19" ht="15" customHeight="1" thickBot="1" x14ac:dyDescent="0.35">
      <c r="B11" s="244"/>
      <c r="C11" s="244"/>
      <c r="D11" s="244"/>
      <c r="K11" s="245"/>
    </row>
    <row r="12" spans="2:19" ht="15" customHeight="1" thickBot="1" x14ac:dyDescent="0.35">
      <c r="B12" s="246" t="s">
        <v>180</v>
      </c>
      <c r="C12" s="247" t="s">
        <v>667</v>
      </c>
      <c r="D12" s="247"/>
      <c r="E12" s="255" t="e">
        <f>'YEAR 1'!#REF!</f>
        <v>#REF!</v>
      </c>
      <c r="F12" s="256"/>
      <c r="G12" s="255" t="e">
        <f>'YEAR 1'!#REF!</f>
        <v>#REF!</v>
      </c>
      <c r="H12" s="256"/>
      <c r="I12" s="264">
        <v>0</v>
      </c>
      <c r="J12" s="256"/>
      <c r="K12" s="257" t="e">
        <f>ROUND(E12+G12+I12,0)</f>
        <v>#REF!</v>
      </c>
      <c r="L12" s="248"/>
      <c r="M12" s="237" t="e">
        <f>ROUND('YEAR 1'!#REF!,0)</f>
        <v>#REF!</v>
      </c>
    </row>
    <row r="13" spans="2:19" ht="4.5" customHeight="1" thickBot="1" x14ac:dyDescent="0.35">
      <c r="B13" s="244"/>
      <c r="C13" s="244"/>
      <c r="D13" s="244"/>
      <c r="E13" s="256"/>
      <c r="F13" s="256"/>
      <c r="G13" s="256"/>
      <c r="H13" s="256"/>
      <c r="I13" s="256"/>
      <c r="J13" s="256"/>
      <c r="K13" s="258"/>
    </row>
    <row r="14" spans="2:19" ht="15" customHeight="1" thickBot="1" x14ac:dyDescent="0.35">
      <c r="B14" s="246" t="s">
        <v>182</v>
      </c>
      <c r="C14" s="249" t="s">
        <v>668</v>
      </c>
      <c r="D14" s="249"/>
      <c r="E14" s="255" t="e">
        <f>'YEAR 1'!#REF!</f>
        <v>#REF!</v>
      </c>
      <c r="F14" s="256"/>
      <c r="G14" s="255" t="e">
        <f>'YEAR 1'!#REF!</f>
        <v>#REF!</v>
      </c>
      <c r="H14" s="256"/>
      <c r="I14" s="264">
        <v>0</v>
      </c>
      <c r="J14" s="256"/>
      <c r="K14" s="257" t="e">
        <f>ROUND(E14+G14+I14,0)</f>
        <v>#REF!</v>
      </c>
      <c r="M14" s="237" t="e">
        <f>ROUND('YEAR 1'!#REF!,0)</f>
        <v>#REF!</v>
      </c>
    </row>
    <row r="15" spans="2:19" ht="4.5" customHeight="1" thickBot="1" x14ac:dyDescent="0.35">
      <c r="B15" s="244"/>
      <c r="C15" s="244"/>
      <c r="D15" s="244"/>
      <c r="E15" s="256"/>
      <c r="F15" s="256"/>
      <c r="G15" s="256"/>
      <c r="H15" s="256"/>
      <c r="I15" s="256"/>
      <c r="J15" s="256"/>
      <c r="K15" s="258"/>
    </row>
    <row r="16" spans="2:19" ht="15" customHeight="1" thickBot="1" x14ac:dyDescent="0.35">
      <c r="B16" s="246" t="s">
        <v>184</v>
      </c>
      <c r="C16" s="247" t="s">
        <v>669</v>
      </c>
      <c r="D16" s="247"/>
      <c r="E16" s="255">
        <f>'YEAR 1'!P103</f>
        <v>0</v>
      </c>
      <c r="F16" s="256"/>
      <c r="G16" s="255">
        <f>'YEAR 1'!AC103</f>
        <v>0</v>
      </c>
      <c r="H16" s="256"/>
      <c r="I16" s="264">
        <v>0</v>
      </c>
      <c r="J16" s="256"/>
      <c r="K16" s="257">
        <f>ROUND(E16+G16+I16,0)</f>
        <v>0</v>
      </c>
      <c r="M16" s="237">
        <f>ROUND('YEAR 1'!AP103,0)</f>
        <v>0</v>
      </c>
    </row>
    <row r="17" spans="2:14" ht="4.5" customHeight="1" thickBot="1" x14ac:dyDescent="0.35">
      <c r="B17" s="244"/>
      <c r="C17" s="244"/>
      <c r="D17" s="244"/>
      <c r="E17" s="256"/>
      <c r="F17" s="256"/>
      <c r="G17" s="256"/>
      <c r="H17" s="256"/>
      <c r="I17" s="256"/>
      <c r="J17" s="256"/>
      <c r="K17" s="258"/>
    </row>
    <row r="18" spans="2:14" ht="15" customHeight="1" thickBot="1" x14ac:dyDescent="0.35">
      <c r="B18" s="246" t="s">
        <v>670</v>
      </c>
      <c r="C18" s="247" t="s">
        <v>671</v>
      </c>
      <c r="D18" s="247"/>
      <c r="E18" s="255">
        <f>'YEAR 1'!P76</f>
        <v>0</v>
      </c>
      <c r="F18" s="256"/>
      <c r="G18" s="255">
        <f>'YEAR 1'!AC76</f>
        <v>0</v>
      </c>
      <c r="H18" s="256"/>
      <c r="I18" s="264">
        <v>0</v>
      </c>
      <c r="J18" s="256"/>
      <c r="K18" s="257">
        <f>ROUND(E18+G18+I18,0)</f>
        <v>0</v>
      </c>
      <c r="M18" s="237">
        <f>ROUND('YEAR 1'!AP76,0)</f>
        <v>0</v>
      </c>
    </row>
    <row r="19" spans="2:14" ht="4.5" customHeight="1" thickBot="1" x14ac:dyDescent="0.35">
      <c r="B19" s="244"/>
      <c r="C19" s="244"/>
      <c r="D19" s="244"/>
      <c r="E19" s="256"/>
      <c r="F19" s="256"/>
      <c r="G19" s="256"/>
      <c r="H19" s="256"/>
      <c r="I19" s="256"/>
      <c r="J19" s="256"/>
      <c r="K19" s="258"/>
    </row>
    <row r="20" spans="2:14" ht="15" customHeight="1" thickBot="1" x14ac:dyDescent="0.35">
      <c r="B20" s="246" t="s">
        <v>672</v>
      </c>
      <c r="C20" s="247" t="s">
        <v>673</v>
      </c>
      <c r="D20" s="247"/>
      <c r="E20" s="255">
        <f>'YEAR 1'!P166</f>
        <v>0</v>
      </c>
      <c r="F20" s="256"/>
      <c r="G20" s="255">
        <f>'YEAR 1'!AC166</f>
        <v>0</v>
      </c>
      <c r="H20" s="256"/>
      <c r="I20" s="264">
        <v>0</v>
      </c>
      <c r="J20" s="256"/>
      <c r="K20" s="257">
        <f>ROUND(E20+G20+I20,0)</f>
        <v>0</v>
      </c>
    </row>
    <row r="21" spans="2:14" ht="4.5" customHeight="1" thickBot="1" x14ac:dyDescent="0.35">
      <c r="B21" s="244"/>
      <c r="C21" s="244"/>
      <c r="D21" s="244"/>
      <c r="E21" s="256"/>
      <c r="F21" s="256"/>
      <c r="G21" s="256"/>
      <c r="H21" s="256"/>
      <c r="I21" s="256"/>
      <c r="J21" s="256"/>
      <c r="K21" s="258"/>
    </row>
    <row r="22" spans="2:14" ht="15" customHeight="1" thickBot="1" x14ac:dyDescent="0.35">
      <c r="B22" s="246" t="s">
        <v>674</v>
      </c>
      <c r="C22" s="247" t="s">
        <v>675</v>
      </c>
      <c r="D22" s="247"/>
      <c r="E22" s="255">
        <f>'YEAR 1'!P184+'YEAR 1'!P202</f>
        <v>0</v>
      </c>
      <c r="F22" s="256"/>
      <c r="G22" s="255">
        <f>'YEAR 1'!AC184+'YEAR 1'!AC202</f>
        <v>0</v>
      </c>
      <c r="H22" s="256"/>
      <c r="I22" s="264">
        <v>0</v>
      </c>
      <c r="J22" s="256"/>
      <c r="K22" s="257">
        <f>ROUND(E22+G22+I22,0)</f>
        <v>0</v>
      </c>
    </row>
    <row r="23" spans="2:14" ht="4.5" customHeight="1" thickBot="1" x14ac:dyDescent="0.35">
      <c r="E23" s="256"/>
      <c r="F23" s="256"/>
      <c r="G23" s="256"/>
      <c r="H23" s="256"/>
      <c r="I23" s="256"/>
      <c r="J23" s="256"/>
      <c r="K23" s="258"/>
    </row>
    <row r="24" spans="2:14" ht="14.4" thickBot="1" x14ac:dyDescent="0.35">
      <c r="B24" s="246" t="s">
        <v>676</v>
      </c>
      <c r="C24" s="247" t="s">
        <v>677</v>
      </c>
      <c r="D24" s="247"/>
      <c r="E24" s="255">
        <f>'YEAR 1'!P220</f>
        <v>0</v>
      </c>
      <c r="F24" s="256"/>
      <c r="G24" s="255">
        <f>'YEAR 1'!AC220</f>
        <v>0</v>
      </c>
      <c r="H24" s="256"/>
      <c r="I24" s="264">
        <v>0</v>
      </c>
      <c r="J24" s="256"/>
      <c r="K24" s="257">
        <f>ROUND(E24+G24+I24,0)</f>
        <v>0</v>
      </c>
    </row>
    <row r="25" spans="2:14" ht="4.5" customHeight="1" thickBot="1" x14ac:dyDescent="0.35">
      <c r="B25" s="244"/>
      <c r="E25" s="256"/>
      <c r="F25" s="256"/>
      <c r="G25" s="256"/>
      <c r="H25" s="256"/>
      <c r="I25" s="256"/>
      <c r="J25" s="256"/>
      <c r="K25" s="258"/>
    </row>
    <row r="26" spans="2:14" ht="14.4" thickBot="1" x14ac:dyDescent="0.35">
      <c r="B26" s="246" t="s">
        <v>678</v>
      </c>
      <c r="C26" s="247" t="s">
        <v>679</v>
      </c>
      <c r="D26" s="247"/>
      <c r="E26" s="265">
        <f>'YEAR 1'!P151+'YEAR 1'!P175+'YEAR 1'!P193+'YEAR 1'!P211+'YEAR 1'!P231</f>
        <v>0</v>
      </c>
      <c r="F26" s="256"/>
      <c r="G26" s="255">
        <f>'YEAR 1'!AC151+'YEAR 1'!AC175+'YEAR 1'!AC193+'YEAR 1'!AC231</f>
        <v>0</v>
      </c>
      <c r="H26" s="256"/>
      <c r="I26" s="264">
        <v>0</v>
      </c>
      <c r="J26" s="256"/>
      <c r="K26" s="257">
        <f>ROUND(E26+G26+I26,0)</f>
        <v>0</v>
      </c>
    </row>
    <row r="27" spans="2:14" ht="4.5" customHeight="1" thickBot="1" x14ac:dyDescent="0.35">
      <c r="B27" s="244"/>
      <c r="E27" s="256"/>
      <c r="F27" s="256"/>
      <c r="G27" s="256"/>
      <c r="H27" s="256"/>
      <c r="I27" s="256"/>
      <c r="J27" s="256"/>
      <c r="K27" s="258"/>
    </row>
    <row r="28" spans="2:14" ht="14.4" thickBot="1" x14ac:dyDescent="0.35">
      <c r="B28" s="246" t="s">
        <v>680</v>
      </c>
      <c r="C28" s="247" t="s">
        <v>681</v>
      </c>
      <c r="D28" s="247"/>
      <c r="E28" s="255" t="e">
        <f>ROUND(SUM(E11:E27),0)</f>
        <v>#REF!</v>
      </c>
      <c r="F28" s="256"/>
      <c r="G28" s="255" t="e">
        <f>ROUND(SUM(G11:G27),0)</f>
        <v>#REF!</v>
      </c>
      <c r="H28" s="256"/>
      <c r="I28" s="255">
        <f>ROUND(SUM(I11:I27),0)</f>
        <v>0</v>
      </c>
      <c r="J28" s="256"/>
      <c r="K28" s="257" t="e">
        <f>ROUND(E28+G28+I28,0)</f>
        <v>#REF!</v>
      </c>
      <c r="M28" s="250" t="e">
        <f>ROUND(SUM(K12:K26),0)</f>
        <v>#REF!</v>
      </c>
      <c r="N28" s="237" t="e">
        <f>IF(M28&lt;&gt;K28,1,0)</f>
        <v>#REF!</v>
      </c>
    </row>
    <row r="29" spans="2:14" ht="4.5" customHeight="1" thickBot="1" x14ac:dyDescent="0.35">
      <c r="B29" s="244"/>
      <c r="E29" s="256"/>
      <c r="F29" s="256"/>
      <c r="G29" s="256"/>
      <c r="H29" s="256"/>
      <c r="I29" s="256"/>
      <c r="J29" s="256"/>
      <c r="K29" s="258"/>
    </row>
    <row r="30" spans="2:14" ht="14.4" thickBot="1" x14ac:dyDescent="0.35">
      <c r="B30" s="246" t="s">
        <v>682</v>
      </c>
      <c r="C30" s="247" t="s">
        <v>683</v>
      </c>
      <c r="D30" s="247"/>
      <c r="E30" s="255">
        <f>E42</f>
        <v>0</v>
      </c>
      <c r="F30" s="256"/>
      <c r="G30" s="255">
        <f>G40</f>
        <v>0</v>
      </c>
      <c r="H30" s="256"/>
      <c r="I30" s="255">
        <f>ROUND(I42,0)</f>
        <v>0</v>
      </c>
      <c r="J30" s="256"/>
      <c r="K30" s="257">
        <f>ROUND(E30+G30+I30,0)</f>
        <v>0</v>
      </c>
    </row>
    <row r="31" spans="2:14" ht="5.25" customHeight="1" x14ac:dyDescent="0.3">
      <c r="B31" s="246"/>
      <c r="C31" s="247"/>
      <c r="D31" s="247"/>
      <c r="E31" s="256"/>
      <c r="F31" s="256"/>
      <c r="G31" s="256"/>
      <c r="H31" s="256"/>
      <c r="I31" s="256"/>
      <c r="J31" s="256"/>
      <c r="K31" s="258"/>
    </row>
    <row r="32" spans="2:14" x14ac:dyDescent="0.3">
      <c r="B32" s="244"/>
      <c r="C32" s="251" t="s">
        <v>684</v>
      </c>
      <c r="E32" s="259"/>
      <c r="F32" s="259"/>
      <c r="G32" s="259"/>
      <c r="H32" s="259"/>
      <c r="I32" s="259"/>
      <c r="J32" s="259"/>
      <c r="K32" s="258"/>
    </row>
    <row r="33" spans="2:11" x14ac:dyDescent="0.3">
      <c r="B33" s="244"/>
      <c r="D33" s="237" t="s">
        <v>685</v>
      </c>
      <c r="E33" s="260">
        <f>'YEAR 1'!P240</f>
        <v>0</v>
      </c>
      <c r="F33" s="259"/>
      <c r="G33" s="260">
        <f>'YEAR 1'!AC240</f>
        <v>0</v>
      </c>
      <c r="H33" s="259"/>
      <c r="I33" s="256">
        <v>0</v>
      </c>
      <c r="J33" s="259"/>
      <c r="K33" s="258"/>
    </row>
    <row r="34" spans="2:11" x14ac:dyDescent="0.3">
      <c r="B34" s="244"/>
      <c r="D34" s="237" t="s">
        <v>686</v>
      </c>
      <c r="E34" s="261">
        <f>'YEAR 1'!P241</f>
        <v>0</v>
      </c>
      <c r="F34" s="259"/>
      <c r="G34" s="261">
        <f>'YEAR 1'!AC241</f>
        <v>0</v>
      </c>
      <c r="H34" s="259"/>
      <c r="I34" s="262">
        <v>0</v>
      </c>
      <c r="J34" s="259"/>
      <c r="K34" s="258"/>
    </row>
    <row r="35" spans="2:11" ht="4.5" customHeight="1" x14ac:dyDescent="0.3">
      <c r="B35" s="244"/>
      <c r="E35" s="259"/>
      <c r="F35" s="259"/>
      <c r="G35" s="259"/>
      <c r="H35" s="259"/>
      <c r="I35" s="256"/>
      <c r="J35" s="259"/>
      <c r="K35" s="258"/>
    </row>
    <row r="36" spans="2:11" x14ac:dyDescent="0.3">
      <c r="B36" s="244"/>
      <c r="C36" s="237" t="s">
        <v>687</v>
      </c>
      <c r="E36" s="260">
        <f>'YEAR 1'!P243</f>
        <v>0</v>
      </c>
      <c r="F36" s="259"/>
      <c r="G36" s="260">
        <f>'YEAR 1'!AC243</f>
        <v>0</v>
      </c>
      <c r="H36" s="259"/>
      <c r="I36" s="256">
        <v>0</v>
      </c>
      <c r="J36" s="259"/>
      <c r="K36" s="258"/>
    </row>
    <row r="37" spans="2:11" ht="4.5" customHeight="1" x14ac:dyDescent="0.3">
      <c r="B37" s="244"/>
      <c r="E37" s="259"/>
      <c r="F37" s="259"/>
      <c r="G37" s="259"/>
      <c r="H37" s="259"/>
      <c r="I37" s="256"/>
      <c r="J37" s="259"/>
      <c r="K37" s="258"/>
    </row>
    <row r="38" spans="2:11" x14ac:dyDescent="0.3">
      <c r="B38" s="244"/>
      <c r="D38" s="237" t="str">
        <f>'YEAR 1'!C245</f>
        <v>SDSM&amp;T  Indirect  @ 42.0%</v>
      </c>
      <c r="E38" s="260">
        <f>'YEAR 1'!P245</f>
        <v>0</v>
      </c>
      <c r="F38" s="263"/>
      <c r="G38" s="260">
        <f>'YEAR 1'!AC245</f>
        <v>0</v>
      </c>
      <c r="H38" s="263"/>
      <c r="I38" s="256">
        <v>0</v>
      </c>
      <c r="J38" s="263"/>
      <c r="K38" s="258"/>
    </row>
    <row r="39" spans="2:11" ht="3.75" customHeight="1" x14ac:dyDescent="0.3">
      <c r="B39" s="244"/>
      <c r="E39" s="259"/>
      <c r="F39" s="259"/>
      <c r="G39" s="259"/>
      <c r="H39" s="259"/>
      <c r="I39" s="256"/>
      <c r="J39" s="259"/>
      <c r="K39" s="258"/>
    </row>
    <row r="40" spans="2:11" x14ac:dyDescent="0.3">
      <c r="B40" s="244"/>
      <c r="D40" s="237" t="str">
        <f>'YEAR 1'!D247</f>
        <v>SDSM&amp;T Unrecovered Indirect @ 0.0%</v>
      </c>
      <c r="E40" s="261">
        <f>'YEAR 1'!P247</f>
        <v>0</v>
      </c>
      <c r="F40" s="263"/>
      <c r="G40" s="261">
        <f>'YEAR 1'!AC247</f>
        <v>0</v>
      </c>
      <c r="H40" s="263"/>
      <c r="I40" s="262">
        <v>0</v>
      </c>
      <c r="J40" s="263"/>
      <c r="K40" s="258"/>
    </row>
    <row r="41" spans="2:11" ht="3.75" customHeight="1" x14ac:dyDescent="0.3">
      <c r="B41" s="244"/>
      <c r="E41" s="259"/>
      <c r="F41" s="259"/>
      <c r="G41" s="259"/>
      <c r="H41" s="259"/>
      <c r="I41" s="256"/>
      <c r="J41" s="259"/>
      <c r="K41" s="258"/>
    </row>
    <row r="42" spans="2:11" x14ac:dyDescent="0.3">
      <c r="B42" s="244"/>
      <c r="D42" s="237" t="str">
        <f>'YEAR 1'!C249</f>
        <v>SDSM&amp;T Indirect Recovered @ 42.0%</v>
      </c>
      <c r="E42" s="260">
        <f>'YEAR 1'!P249</f>
        <v>0</v>
      </c>
      <c r="F42" s="263"/>
      <c r="G42" s="260">
        <f>'YEAR 1'!AC251</f>
        <v>0</v>
      </c>
      <c r="H42" s="263"/>
      <c r="I42" s="256">
        <v>0</v>
      </c>
      <c r="J42" s="263"/>
      <c r="K42" s="258"/>
    </row>
    <row r="43" spans="2:11" ht="4.5" customHeight="1" thickBot="1" x14ac:dyDescent="0.35">
      <c r="B43" s="244"/>
      <c r="E43" s="259"/>
      <c r="F43" s="259"/>
      <c r="G43" s="259"/>
      <c r="H43" s="259"/>
      <c r="I43" s="259"/>
      <c r="J43" s="259"/>
      <c r="K43" s="258"/>
    </row>
    <row r="44" spans="2:11" ht="14.4" thickBot="1" x14ac:dyDescent="0.35">
      <c r="B44" s="246" t="s">
        <v>688</v>
      </c>
      <c r="C44" s="247" t="s">
        <v>689</v>
      </c>
      <c r="D44" s="247"/>
      <c r="E44" s="257" t="e">
        <f>ROUND(E42+E28,0)</f>
        <v>#REF!</v>
      </c>
      <c r="F44" s="258"/>
      <c r="G44" s="257" t="e">
        <f>ROUND(G42+G28,0)</f>
        <v>#REF!</v>
      </c>
      <c r="H44" s="258"/>
      <c r="I44" s="257">
        <f>ROUND(I42+I28,0)</f>
        <v>0</v>
      </c>
      <c r="J44" s="258"/>
      <c r="K44" s="257" t="e">
        <f>E44+G44+I44</f>
        <v>#REF!</v>
      </c>
    </row>
    <row r="46" spans="2:11" x14ac:dyDescent="0.3">
      <c r="B46" s="252" t="s">
        <v>690</v>
      </c>
      <c r="C46" s="237" t="s">
        <v>691</v>
      </c>
    </row>
    <row r="55" spans="1:15" s="253" customFormat="1" x14ac:dyDescent="0.3">
      <c r="A55" s="253" t="s">
        <v>692</v>
      </c>
      <c r="E55" s="254"/>
      <c r="F55" s="254"/>
      <c r="G55" s="254"/>
      <c r="H55" s="254"/>
      <c r="I55" s="254"/>
      <c r="J55" s="254"/>
      <c r="K55" s="254"/>
      <c r="L55" s="253" t="s">
        <v>693</v>
      </c>
    </row>
    <row r="57" spans="1:15" x14ac:dyDescent="0.3">
      <c r="A57" s="252" t="s">
        <v>694</v>
      </c>
      <c r="B57" s="237" t="s">
        <v>695</v>
      </c>
      <c r="L57" s="237" t="s">
        <v>694</v>
      </c>
      <c r="M57" s="237" t="s">
        <v>695</v>
      </c>
      <c r="O57" s="237" t="s">
        <v>696</v>
      </c>
    </row>
    <row r="58" spans="1:15" x14ac:dyDescent="0.3">
      <c r="A58" s="252" t="s">
        <v>697</v>
      </c>
      <c r="B58" s="237" t="s">
        <v>698</v>
      </c>
      <c r="L58" s="237" t="s">
        <v>697</v>
      </c>
      <c r="M58" s="237" t="s">
        <v>698</v>
      </c>
      <c r="O58" s="237" t="s">
        <v>696</v>
      </c>
    </row>
    <row r="59" spans="1:15" x14ac:dyDescent="0.3">
      <c r="A59" s="252"/>
      <c r="B59" s="237">
        <v>1</v>
      </c>
      <c r="C59" s="237" t="s">
        <v>699</v>
      </c>
      <c r="L59" s="237" t="s">
        <v>700</v>
      </c>
      <c r="M59" s="237" t="s">
        <v>671</v>
      </c>
    </row>
    <row r="60" spans="1:15" x14ac:dyDescent="0.3">
      <c r="A60" s="252"/>
      <c r="B60" s="237">
        <v>2</v>
      </c>
      <c r="C60" s="237" t="s">
        <v>701</v>
      </c>
      <c r="L60" s="237" t="s">
        <v>702</v>
      </c>
      <c r="M60" s="237" t="s">
        <v>703</v>
      </c>
    </row>
    <row r="61" spans="1:15" x14ac:dyDescent="0.3">
      <c r="A61" s="252"/>
      <c r="B61" s="237">
        <v>3</v>
      </c>
      <c r="C61" s="237" t="s">
        <v>704</v>
      </c>
      <c r="L61" s="237">
        <v>1</v>
      </c>
      <c r="M61" s="237" t="s">
        <v>705</v>
      </c>
    </row>
    <row r="62" spans="1:15" x14ac:dyDescent="0.3">
      <c r="A62" s="252"/>
      <c r="B62" s="237">
        <v>4</v>
      </c>
      <c r="C62" s="237" t="s">
        <v>706</v>
      </c>
      <c r="L62" s="237">
        <v>2</v>
      </c>
      <c r="M62" s="237" t="s">
        <v>707</v>
      </c>
    </row>
    <row r="63" spans="1:15" x14ac:dyDescent="0.3">
      <c r="A63" s="252"/>
      <c r="B63" s="237">
        <v>5</v>
      </c>
      <c r="C63" s="237" t="s">
        <v>708</v>
      </c>
      <c r="L63" s="237" t="s">
        <v>709</v>
      </c>
      <c r="M63" s="237" t="s">
        <v>710</v>
      </c>
    </row>
    <row r="64" spans="1:15" x14ac:dyDescent="0.3">
      <c r="A64" s="252"/>
      <c r="B64" s="237">
        <v>6</v>
      </c>
      <c r="C64" s="237" t="s">
        <v>679</v>
      </c>
      <c r="L64" s="237">
        <v>1</v>
      </c>
      <c r="M64" s="237" t="s">
        <v>711</v>
      </c>
    </row>
    <row r="65" spans="1:13" x14ac:dyDescent="0.3">
      <c r="A65" s="252" t="s">
        <v>700</v>
      </c>
      <c r="B65" s="237" t="s">
        <v>712</v>
      </c>
      <c r="L65" s="237">
        <v>2</v>
      </c>
      <c r="M65" s="237" t="s">
        <v>713</v>
      </c>
    </row>
    <row r="66" spans="1:13" x14ac:dyDescent="0.3">
      <c r="A66" s="252" t="s">
        <v>702</v>
      </c>
      <c r="B66" s="237" t="s">
        <v>671</v>
      </c>
      <c r="L66" s="237">
        <v>3</v>
      </c>
      <c r="M66" s="237" t="s">
        <v>703</v>
      </c>
    </row>
    <row r="67" spans="1:13" x14ac:dyDescent="0.3">
      <c r="A67" s="252" t="s">
        <v>709</v>
      </c>
      <c r="B67" s="237" t="s">
        <v>703</v>
      </c>
      <c r="L67" s="237">
        <v>4</v>
      </c>
      <c r="M67" s="237" t="s">
        <v>714</v>
      </c>
    </row>
    <row r="68" spans="1:13" x14ac:dyDescent="0.3">
      <c r="A68" s="252"/>
      <c r="B68" s="237">
        <v>1</v>
      </c>
      <c r="C68" s="237" t="s">
        <v>715</v>
      </c>
      <c r="L68" s="237">
        <v>5</v>
      </c>
      <c r="M68" s="237" t="s">
        <v>679</v>
      </c>
    </row>
    <row r="69" spans="1:13" x14ac:dyDescent="0.3">
      <c r="A69" s="252"/>
      <c r="B69" s="237">
        <v>2</v>
      </c>
      <c r="C69" s="237" t="s">
        <v>716</v>
      </c>
      <c r="L69" s="237" t="s">
        <v>717</v>
      </c>
      <c r="M69" s="237" t="s">
        <v>718</v>
      </c>
    </row>
    <row r="70" spans="1:13" x14ac:dyDescent="0.3">
      <c r="A70" s="252" t="s">
        <v>717</v>
      </c>
      <c r="B70" s="237" t="s">
        <v>719</v>
      </c>
      <c r="L70" s="237">
        <v>1</v>
      </c>
      <c r="M70" s="237" t="s">
        <v>720</v>
      </c>
    </row>
    <row r="71" spans="1:13" x14ac:dyDescent="0.3">
      <c r="A71" s="252"/>
      <c r="B71" s="237">
        <v>1</v>
      </c>
      <c r="C71" s="237" t="s">
        <v>713</v>
      </c>
      <c r="L71" s="237">
        <v>2</v>
      </c>
      <c r="M71" s="237" t="s">
        <v>721</v>
      </c>
    </row>
    <row r="72" spans="1:13" x14ac:dyDescent="0.3">
      <c r="A72" s="252"/>
      <c r="B72" s="237">
        <v>2</v>
      </c>
      <c r="C72" s="237" t="s">
        <v>703</v>
      </c>
      <c r="L72" s="237">
        <v>3</v>
      </c>
      <c r="M72" s="237" t="s">
        <v>722</v>
      </c>
    </row>
    <row r="73" spans="1:13" x14ac:dyDescent="0.3">
      <c r="A73" s="252"/>
      <c r="B73" s="237">
        <v>3</v>
      </c>
      <c r="C73" s="237" t="s">
        <v>714</v>
      </c>
      <c r="L73" s="237">
        <v>4</v>
      </c>
      <c r="M73" s="237" t="s">
        <v>723</v>
      </c>
    </row>
    <row r="74" spans="1:13" x14ac:dyDescent="0.3">
      <c r="A74" s="252"/>
      <c r="B74" s="237">
        <v>4</v>
      </c>
      <c r="C74" s="237" t="s">
        <v>679</v>
      </c>
      <c r="L74" s="237">
        <v>5</v>
      </c>
      <c r="M74" s="237" t="s">
        <v>724</v>
      </c>
    </row>
    <row r="75" spans="1:13" x14ac:dyDescent="0.3">
      <c r="A75" s="252" t="s">
        <v>725</v>
      </c>
      <c r="B75" s="237" t="s">
        <v>718</v>
      </c>
      <c r="L75" s="237">
        <v>6</v>
      </c>
      <c r="M75" s="237" t="s">
        <v>726</v>
      </c>
    </row>
    <row r="76" spans="1:13" x14ac:dyDescent="0.3">
      <c r="A76" s="252"/>
      <c r="B76" s="237">
        <v>1</v>
      </c>
      <c r="C76" s="237" t="s">
        <v>720</v>
      </c>
      <c r="L76" s="237">
        <v>7</v>
      </c>
      <c r="M76" s="237" t="s">
        <v>727</v>
      </c>
    </row>
    <row r="77" spans="1:13" x14ac:dyDescent="0.3">
      <c r="A77" s="252"/>
      <c r="B77" s="237">
        <v>2</v>
      </c>
      <c r="C77" s="237" t="s">
        <v>728</v>
      </c>
      <c r="L77" s="237">
        <v>8</v>
      </c>
      <c r="M77" s="237" t="s">
        <v>679</v>
      </c>
    </row>
    <row r="78" spans="1:13" x14ac:dyDescent="0.3">
      <c r="A78" s="252"/>
      <c r="B78" s="237">
        <v>3</v>
      </c>
      <c r="C78" s="237" t="s">
        <v>722</v>
      </c>
      <c r="L78" s="237" t="s">
        <v>725</v>
      </c>
      <c r="M78" s="237" t="s">
        <v>729</v>
      </c>
    </row>
    <row r="79" spans="1:13" x14ac:dyDescent="0.3">
      <c r="A79" s="252"/>
      <c r="B79" s="237">
        <v>4</v>
      </c>
      <c r="C79" s="237" t="s">
        <v>730</v>
      </c>
      <c r="L79" s="237" t="s">
        <v>731</v>
      </c>
      <c r="M79" s="237" t="s">
        <v>683</v>
      </c>
    </row>
    <row r="80" spans="1:13" x14ac:dyDescent="0.3">
      <c r="A80" s="252"/>
      <c r="B80" s="237">
        <v>5</v>
      </c>
      <c r="C80" s="237" t="s">
        <v>732</v>
      </c>
      <c r="L80" s="237" t="s">
        <v>733</v>
      </c>
      <c r="M80" s="237" t="s">
        <v>734</v>
      </c>
    </row>
    <row r="81" spans="1:13" x14ac:dyDescent="0.3">
      <c r="A81" s="252"/>
      <c r="B81" s="237">
        <v>6</v>
      </c>
      <c r="C81" s="237" t="s">
        <v>679</v>
      </c>
      <c r="L81" s="237" t="s">
        <v>735</v>
      </c>
      <c r="M81" s="237" t="s">
        <v>736</v>
      </c>
    </row>
    <row r="82" spans="1:13" x14ac:dyDescent="0.3">
      <c r="A82" s="252" t="s">
        <v>731</v>
      </c>
      <c r="B82" s="237" t="s">
        <v>685</v>
      </c>
      <c r="L82" s="237" t="s">
        <v>737</v>
      </c>
      <c r="M82" s="237" t="s">
        <v>738</v>
      </c>
    </row>
    <row r="83" spans="1:13" x14ac:dyDescent="0.3">
      <c r="A83" s="252" t="s">
        <v>733</v>
      </c>
      <c r="B83" s="237" t="s">
        <v>683</v>
      </c>
    </row>
    <row r="84" spans="1:13" x14ac:dyDescent="0.3">
      <c r="A84" s="252" t="s">
        <v>739</v>
      </c>
      <c r="B84" s="237" t="s">
        <v>740</v>
      </c>
    </row>
    <row r="85" spans="1:13" x14ac:dyDescent="0.3">
      <c r="A85" s="252" t="s">
        <v>737</v>
      </c>
      <c r="B85" s="237" t="s">
        <v>741</v>
      </c>
    </row>
    <row r="86" spans="1:13" x14ac:dyDescent="0.3">
      <c r="A86" s="252" t="s">
        <v>742</v>
      </c>
      <c r="B86" s="237" t="s">
        <v>743</v>
      </c>
    </row>
    <row r="87" spans="1:13" x14ac:dyDescent="0.3">
      <c r="A87" s="252" t="s">
        <v>744</v>
      </c>
      <c r="B87" s="237" t="s">
        <v>745</v>
      </c>
    </row>
  </sheetData>
  <mergeCells count="8">
    <mergeCell ref="E9:K9"/>
    <mergeCell ref="B7:K7"/>
    <mergeCell ref="B8:K8"/>
    <mergeCell ref="C1:L1"/>
    <mergeCell ref="C3:K3"/>
    <mergeCell ref="B5:K5"/>
    <mergeCell ref="C2:L2"/>
    <mergeCell ref="B6:K6"/>
  </mergeCells>
  <phoneticPr fontId="1" type="noConversion"/>
  <conditionalFormatting sqref="M28">
    <cfRule type="expression" dxfId="697" priority="1" stopIfTrue="1">
      <formula>$N$28=1</formula>
    </cfRule>
  </conditionalFormatting>
  <printOptions horizontalCentered="1"/>
  <pageMargins left="0.75" right="0.75" top="1" bottom="1" header="0.5" footer="0.5"/>
  <pageSetup scale="99" orientation="portrait" horizontalDpi="4294967292" r:id="rId1"/>
  <headerFooter alignWithMargins="0">
    <oddFooter>&amp;L&amp;"Calibri,Regular"&amp;9&amp;F/&amp;A&amp;C&amp;"Calibri,Regular"&amp;9Page &amp;P of &amp;N&amp;R&amp;"Calibri,Regular"&amp;9&amp;D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83"/>
  <sheetViews>
    <sheetView view="pageBreakPreview" workbookViewId="0">
      <selection activeCell="P57" sqref="P57:Q57"/>
    </sheetView>
  </sheetViews>
  <sheetFormatPr defaultColWidth="9" defaultRowHeight="13.2" x14ac:dyDescent="0.25"/>
  <cols>
    <col min="1" max="1" width="3.109375" style="5" customWidth="1"/>
    <col min="2" max="3" width="3.109375" style="4" customWidth="1"/>
    <col min="4" max="4" width="3.109375" style="5" customWidth="1"/>
    <col min="5" max="5" width="8.109375" style="16" customWidth="1"/>
    <col min="6" max="6" width="1.21875" style="5" customWidth="1"/>
    <col min="7" max="7" width="19.77734375" style="5" customWidth="1"/>
    <col min="8" max="15" width="9" style="5"/>
    <col min="16" max="16" width="2.33203125" style="5" customWidth="1"/>
    <col min="17" max="16384" width="9" style="5"/>
  </cols>
  <sheetData>
    <row r="1" spans="2:21" s="1" customFormat="1" ht="4.5" customHeight="1" x14ac:dyDescent="0.25">
      <c r="B1" s="584"/>
      <c r="C1" s="584"/>
      <c r="D1" s="584"/>
      <c r="E1" s="585"/>
      <c r="F1" s="584"/>
      <c r="G1" s="584"/>
      <c r="H1" s="584"/>
      <c r="I1" s="584"/>
      <c r="J1" s="584"/>
      <c r="K1" s="584"/>
      <c r="L1" s="584"/>
      <c r="M1" s="584"/>
      <c r="N1" s="584"/>
      <c r="O1" s="584"/>
      <c r="P1" s="584"/>
      <c r="Q1" s="587"/>
      <c r="R1" s="584"/>
      <c r="S1" s="586"/>
      <c r="T1" s="587"/>
      <c r="U1" s="586"/>
    </row>
    <row r="2" spans="2:21" s="1" customFormat="1" ht="22.8" x14ac:dyDescent="0.4">
      <c r="B2" s="584"/>
      <c r="C2" s="584"/>
      <c r="D2" s="720" t="s">
        <v>746</v>
      </c>
      <c r="E2" s="720"/>
      <c r="F2" s="720"/>
      <c r="G2" s="720"/>
      <c r="H2" s="720"/>
      <c r="I2" s="720"/>
      <c r="J2" s="720"/>
      <c r="K2" s="720"/>
      <c r="L2" s="720"/>
      <c r="M2" s="720"/>
      <c r="N2" s="720"/>
      <c r="O2" s="720"/>
      <c r="P2" s="720"/>
      <c r="Q2" s="587"/>
      <c r="R2" s="584"/>
      <c r="S2" s="586"/>
      <c r="T2" s="587"/>
      <c r="U2" s="586"/>
    </row>
    <row r="3" spans="2:21" s="1" customFormat="1" ht="15.6" x14ac:dyDescent="0.3">
      <c r="B3" s="584"/>
      <c r="C3" s="584"/>
      <c r="D3" s="721" t="s">
        <v>747</v>
      </c>
      <c r="E3" s="721"/>
      <c r="F3" s="721"/>
      <c r="G3" s="721"/>
      <c r="H3" s="721"/>
      <c r="I3" s="721"/>
      <c r="J3" s="721"/>
      <c r="K3" s="721"/>
      <c r="L3" s="721"/>
      <c r="M3" s="721"/>
      <c r="N3" s="721"/>
      <c r="O3" s="721"/>
      <c r="P3" s="721"/>
      <c r="Q3" s="587"/>
      <c r="R3" s="584"/>
      <c r="S3" s="586"/>
      <c r="T3" s="587"/>
      <c r="U3" s="586"/>
    </row>
    <row r="4" spans="2:21" s="1" customFormat="1" ht="29.25" customHeight="1" x14ac:dyDescent="0.25">
      <c r="B4" s="584"/>
      <c r="C4" s="584"/>
      <c r="D4" s="722">
        <f>'YEAR 1'!D4:AR4</f>
        <v>0</v>
      </c>
      <c r="E4" s="722"/>
      <c r="F4" s="722"/>
      <c r="G4" s="722"/>
      <c r="H4" s="722"/>
      <c r="I4" s="722"/>
      <c r="J4" s="722"/>
      <c r="K4" s="722"/>
      <c r="L4" s="722"/>
      <c r="M4" s="722"/>
      <c r="N4" s="722"/>
      <c r="O4" s="722"/>
      <c r="P4" s="722"/>
      <c r="Q4" s="603"/>
      <c r="R4" s="584"/>
      <c r="S4" s="586"/>
      <c r="T4" s="587"/>
      <c r="U4" s="586"/>
    </row>
    <row r="5" spans="2:21" s="1" customFormat="1" x14ac:dyDescent="0.25">
      <c r="B5" s="584"/>
      <c r="C5" s="584"/>
      <c r="D5" s="723" t="str">
        <f>'YEAR 1'!D5:AR5</f>
        <v>Year One:  January 0, 1900 - December 30, 1900</v>
      </c>
      <c r="E5" s="723"/>
      <c r="F5" s="723"/>
      <c r="G5" s="723"/>
      <c r="H5" s="723"/>
      <c r="I5" s="723"/>
      <c r="J5" s="723"/>
      <c r="K5" s="723"/>
      <c r="L5" s="723"/>
      <c r="M5" s="723"/>
      <c r="N5" s="723"/>
      <c r="O5" s="723"/>
      <c r="P5" s="723"/>
      <c r="Q5" s="587"/>
      <c r="R5" s="584"/>
      <c r="S5" s="586"/>
      <c r="T5" s="587"/>
      <c r="U5" s="586"/>
    </row>
    <row r="6" spans="2:21" s="3" customFormat="1" ht="3" customHeight="1" x14ac:dyDescent="0.25">
      <c r="B6" s="588"/>
      <c r="C6" s="588"/>
      <c r="D6" s="589"/>
      <c r="E6" s="590"/>
      <c r="F6" s="589"/>
      <c r="G6" s="589"/>
      <c r="H6" s="589"/>
      <c r="I6" s="589"/>
      <c r="J6" s="589"/>
      <c r="K6" s="589"/>
      <c r="L6" s="589"/>
      <c r="M6" s="589"/>
      <c r="N6" s="589"/>
      <c r="O6" s="589"/>
      <c r="P6" s="589"/>
      <c r="Q6" s="589"/>
      <c r="R6" s="588"/>
      <c r="S6" s="590"/>
      <c r="T6" s="589"/>
      <c r="U6" s="590"/>
    </row>
    <row r="7" spans="2:21" s="1" customFormat="1" x14ac:dyDescent="0.25">
      <c r="B7" s="584"/>
      <c r="C7" s="584"/>
      <c r="D7" s="587"/>
      <c r="E7" s="586"/>
      <c r="F7" s="587"/>
      <c r="G7" s="587"/>
      <c r="H7" s="587"/>
      <c r="I7" s="587"/>
      <c r="J7" s="587"/>
      <c r="K7" s="587"/>
      <c r="L7" s="587"/>
      <c r="M7" s="587"/>
      <c r="N7" s="587"/>
      <c r="O7" s="587"/>
      <c r="P7" s="587"/>
      <c r="Q7" s="587"/>
      <c r="R7" s="584"/>
      <c r="S7" s="586"/>
      <c r="T7" s="587"/>
      <c r="U7" s="586"/>
    </row>
    <row r="8" spans="2:21" x14ac:dyDescent="0.25">
      <c r="B8" s="4" t="s">
        <v>180</v>
      </c>
      <c r="C8" s="4" t="s">
        <v>748</v>
      </c>
      <c r="D8" s="591"/>
      <c r="E8" s="592"/>
      <c r="F8" s="591"/>
      <c r="G8" s="591"/>
      <c r="H8" s="591"/>
      <c r="I8" s="591"/>
      <c r="J8" s="591"/>
      <c r="K8" s="591"/>
      <c r="L8" s="591"/>
      <c r="M8" s="591"/>
      <c r="N8" s="591"/>
      <c r="O8" s="591"/>
      <c r="P8" s="591"/>
      <c r="Q8" s="591"/>
      <c r="R8" s="591"/>
      <c r="S8" s="591"/>
      <c r="T8" s="591"/>
      <c r="U8" s="591"/>
    </row>
    <row r="9" spans="2:21" ht="45" customHeight="1" x14ac:dyDescent="0.25">
      <c r="D9" s="719" t="s">
        <v>749</v>
      </c>
      <c r="E9" s="719"/>
      <c r="F9" s="719"/>
      <c r="G9" s="719"/>
      <c r="H9" s="719"/>
      <c r="I9" s="719"/>
      <c r="J9" s="719"/>
      <c r="K9" s="719"/>
      <c r="L9" s="719"/>
      <c r="M9" s="719"/>
      <c r="N9" s="719"/>
      <c r="O9" s="719"/>
      <c r="P9" s="591"/>
      <c r="Q9" s="591"/>
      <c r="R9" s="591"/>
      <c r="S9" s="591"/>
      <c r="T9" s="591"/>
      <c r="U9" s="591"/>
    </row>
    <row r="10" spans="2:21" ht="5.25" customHeight="1" x14ac:dyDescent="0.25">
      <c r="D10" s="593"/>
      <c r="E10" s="594"/>
      <c r="F10" s="593"/>
      <c r="G10" s="593"/>
      <c r="H10" s="593"/>
      <c r="I10" s="593"/>
      <c r="J10" s="593"/>
      <c r="K10" s="593"/>
      <c r="L10" s="593"/>
      <c r="M10" s="593"/>
      <c r="N10" s="591"/>
      <c r="O10" s="591"/>
      <c r="P10" s="591"/>
      <c r="Q10" s="591"/>
      <c r="R10" s="591"/>
      <c r="S10" s="591"/>
      <c r="T10" s="591"/>
      <c r="U10" s="591"/>
    </row>
    <row r="11" spans="2:21" x14ac:dyDescent="0.25">
      <c r="D11" s="591"/>
      <c r="E11" s="592" t="str">
        <f>'YEAR 1'!C13&amp;" @ an annual salary of "&amp;DOLLAR('YEAR 1'!F13,"$0")&amp;" for "&amp;'YEAR 1'!O13&amp;" months ="&amp;DOLLAR('YEAR 1'!Q13,"$0")</f>
        <v>PI ~  @ an annual salary of $0 for  months =$0</v>
      </c>
      <c r="F11" s="591"/>
      <c r="G11" s="591"/>
      <c r="H11" s="591"/>
      <c r="I11" s="591"/>
      <c r="J11" s="591"/>
      <c r="K11" s="591"/>
      <c r="L11" s="591"/>
      <c r="M11" s="591"/>
      <c r="N11" s="591"/>
      <c r="O11" s="591"/>
      <c r="P11" s="591"/>
      <c r="Q11" s="591"/>
      <c r="R11" s="591"/>
      <c r="S11" s="591"/>
      <c r="T11" s="591"/>
      <c r="U11" s="591"/>
    </row>
    <row r="12" spans="2:21" x14ac:dyDescent="0.25">
      <c r="D12" s="591"/>
      <c r="E12" s="592" t="str">
        <f>'YEAR 1'!C16&amp;" @ an annual salary of "&amp;DOLLAR('YEAR 1'!F16,"$0")&amp;" for "&amp;'YEAR 1'!O16&amp;" months ="&amp;DOLLAR('YEAR 1'!Q16,"$0")</f>
        <v>Co-PI  ~  @ an annual salary of $0 for  months =$0</v>
      </c>
      <c r="F12" s="591"/>
      <c r="G12" s="591"/>
      <c r="H12" s="591"/>
      <c r="I12" s="591"/>
      <c r="J12" s="591"/>
      <c r="K12" s="591"/>
      <c r="L12" s="591"/>
      <c r="M12" s="591"/>
      <c r="N12" s="591"/>
      <c r="O12" s="591"/>
      <c r="P12" s="591"/>
      <c r="Q12" s="591"/>
      <c r="R12" s="591"/>
      <c r="S12" s="591"/>
      <c r="T12" s="591"/>
      <c r="U12" s="591"/>
    </row>
    <row r="13" spans="2:21" hidden="1" x14ac:dyDescent="0.25">
      <c r="D13" s="591"/>
      <c r="E13" s="592" t="str">
        <f>'YEAR 1'!C19&amp;" @ an annual salary of "&amp;DOLLAR('YEAR 1'!F19,"$0")&amp;" for "&amp;'YEAR 1'!O19&amp;" months ="&amp;DOLLAR('YEAR 1'!Q19,"$0")</f>
        <v>Co-PI  ~  @ an annual salary of $0 for  months =$0</v>
      </c>
      <c r="F13" s="591"/>
      <c r="G13" s="591"/>
      <c r="H13" s="591"/>
      <c r="I13" s="591"/>
      <c r="J13" s="591"/>
      <c r="K13" s="591"/>
      <c r="L13" s="591"/>
      <c r="M13" s="591"/>
      <c r="N13" s="591"/>
      <c r="O13" s="591"/>
      <c r="P13" s="591"/>
      <c r="Q13" s="591"/>
      <c r="R13" s="591"/>
      <c r="S13" s="591"/>
      <c r="T13" s="591"/>
      <c r="U13" s="591"/>
    </row>
    <row r="14" spans="2:21" hidden="1" x14ac:dyDescent="0.25">
      <c r="D14" s="591"/>
      <c r="E14" s="592" t="str">
        <f>'YEAR 1'!C22&amp;" @ an annual salary of "&amp;DOLLAR('YEAR 1'!F22,"$0")&amp;" for "&amp;'YEAR 1'!O22&amp;" months ="&amp;DOLLAR('YEAR 1'!P22,"$0")</f>
        <v>Co-PI  ~  @ an annual salary of $0 for  months =$0</v>
      </c>
      <c r="F14" s="591"/>
      <c r="G14" s="591"/>
      <c r="H14" s="591"/>
      <c r="I14" s="591"/>
      <c r="J14" s="591"/>
      <c r="K14" s="591"/>
      <c r="L14" s="591"/>
      <c r="M14" s="591"/>
      <c r="N14" s="591"/>
      <c r="O14" s="591"/>
      <c r="P14" s="591"/>
      <c r="Q14" s="591"/>
      <c r="R14" s="591"/>
      <c r="S14" s="591"/>
      <c r="T14" s="591"/>
      <c r="U14" s="591"/>
    </row>
    <row r="15" spans="2:21" hidden="1" x14ac:dyDescent="0.25">
      <c r="D15" s="591"/>
      <c r="E15" s="592" t="str">
        <f>'YEAR 1'!C34&amp;" @ an annual salary of "&amp;DOLLAR('YEAR 1'!F34,"$0")&amp;" for "&amp;'YEAR 1'!O34&amp;" months ="&amp;DOLLAR('YEAR 1'!P34,"$0")</f>
        <v xml:space="preserve"> @ an annual salary of $0 for  months =$0</v>
      </c>
      <c r="F15" s="591"/>
      <c r="G15" s="591"/>
      <c r="H15" s="591"/>
      <c r="I15" s="591"/>
      <c r="J15" s="591"/>
      <c r="K15" s="591"/>
      <c r="L15" s="591"/>
      <c r="M15" s="591"/>
      <c r="N15" s="591"/>
      <c r="O15" s="591"/>
      <c r="P15" s="591"/>
      <c r="Q15" s="591"/>
      <c r="R15" s="591"/>
      <c r="S15" s="591"/>
      <c r="T15" s="591"/>
      <c r="U15" s="591"/>
    </row>
    <row r="16" spans="2:21" hidden="1" x14ac:dyDescent="0.25">
      <c r="D16" s="591"/>
      <c r="E16" s="592" t="str">
        <f>'YEAR 1'!C37&amp;" @ an annual salary of "&amp;DOLLAR('YEAR 1'!F37,"$0")&amp;" for "&amp;'YEAR 1'!O37&amp;" months ="&amp;DOLLAR('YEAR 1'!P37,"$0")</f>
        <v xml:space="preserve"> @ an annual salary of $0 for  months =$0</v>
      </c>
      <c r="F16" s="591"/>
      <c r="G16" s="591"/>
      <c r="H16" s="591"/>
      <c r="I16" s="591"/>
      <c r="J16" s="591"/>
      <c r="K16" s="591"/>
      <c r="L16" s="591"/>
      <c r="M16" s="591"/>
      <c r="N16" s="591"/>
      <c r="O16" s="591"/>
      <c r="P16" s="591"/>
      <c r="Q16" s="591"/>
      <c r="R16" s="591"/>
      <c r="S16" s="591"/>
      <c r="T16" s="591"/>
      <c r="U16" s="591"/>
    </row>
    <row r="17" spans="2:15" hidden="1" x14ac:dyDescent="0.25">
      <c r="D17" s="591"/>
      <c r="E17" s="592" t="str">
        <f>'YEAR 1'!C40&amp;" @ an annual salary of "&amp;DOLLAR('YEAR 1'!F40,"$0")&amp;" for "&amp;'YEAR 1'!O40&amp;" months ="&amp;DOLLAR('YEAR 1'!P40,"$0")</f>
        <v xml:space="preserve"> @ an annual salary of $0 for  months =$0</v>
      </c>
      <c r="F17" s="591"/>
      <c r="G17" s="591"/>
      <c r="H17" s="591"/>
      <c r="I17" s="591"/>
      <c r="J17" s="591"/>
      <c r="K17" s="591"/>
      <c r="L17" s="591"/>
      <c r="M17" s="591"/>
      <c r="N17" s="591"/>
      <c r="O17" s="591"/>
    </row>
    <row r="18" spans="2:15" x14ac:dyDescent="0.25">
      <c r="D18" s="591"/>
      <c r="E18" s="592" t="str">
        <f>'YEAR 1'!C46&amp;" @ an annual salary of "&amp;DOLLAR('YEAR 1'!F46,"$0")&amp;" for "&amp;'YEAR 1'!O46&amp;" months ="&amp;DOLLAR('YEAR 1'!P46,"$0")</f>
        <v>1 @ an annual salary of $62,636 for  months =$0</v>
      </c>
      <c r="F18" s="591"/>
      <c r="G18" s="591"/>
      <c r="H18" s="591"/>
      <c r="I18" s="591"/>
      <c r="J18" s="591"/>
      <c r="K18" s="591"/>
      <c r="L18" s="591"/>
      <c r="M18" s="591"/>
      <c r="N18" s="591"/>
      <c r="O18" s="591"/>
    </row>
    <row r="19" spans="2:15" hidden="1" x14ac:dyDescent="0.25">
      <c r="D19" s="591"/>
      <c r="E19" s="592" t="str">
        <f>'YEAR 1'!C49&amp;" @ an annual salary of "&amp;DOLLAR('YEAR 1'!F49,"$0")&amp;" for "&amp;'YEAR 1'!O49&amp;" months ="&amp;DOLLAR('YEAR 1'!P49,"$0")</f>
        <v>1 @ an annual salary of $54,652 for  months =$0</v>
      </c>
      <c r="F19" s="591"/>
      <c r="G19" s="591"/>
      <c r="H19" s="591"/>
      <c r="I19" s="591"/>
      <c r="J19" s="591"/>
      <c r="K19" s="591"/>
      <c r="L19" s="591"/>
      <c r="M19" s="591"/>
      <c r="N19" s="591"/>
      <c r="O19" s="591"/>
    </row>
    <row r="20" spans="2:15" x14ac:dyDescent="0.25">
      <c r="D20" s="591"/>
      <c r="E20" s="592" t="str">
        <f>'YEAR 1'!C52&amp;" @ an annual salary of "&amp;DOLLAR('YEAR 1'!F52,"$0")&amp;" for "&amp;'YEAR 1'!O52&amp;" months ="&amp;DOLLAR('YEAR 1'!P52,"$0")</f>
        <v>1 @ an annual salary of $52,458 for  months =$0</v>
      </c>
      <c r="F20" s="591"/>
      <c r="G20" s="591"/>
      <c r="H20" s="591"/>
      <c r="I20" s="591"/>
      <c r="J20" s="591"/>
      <c r="K20" s="591"/>
      <c r="L20" s="591"/>
      <c r="M20" s="591"/>
      <c r="N20" s="591"/>
      <c r="O20" s="591"/>
    </row>
    <row r="21" spans="2:15" x14ac:dyDescent="0.25">
      <c r="D21" s="591"/>
      <c r="E21" s="592" t="str">
        <f>'YEAR 1'!C55&amp;" @ an annual salary of "&amp;DOLLAR('YEAR 1'!F55,"$0")&amp;" for "&amp;'YEAR 1'!O55&amp;" months ="&amp;DOLLAR('YEAR 1'!P55,"$0")</f>
        <v>1 @ an annual salary of $52,458 for  months =$0</v>
      </c>
      <c r="F21" s="591"/>
      <c r="G21" s="591"/>
      <c r="H21" s="591"/>
      <c r="I21" s="591"/>
      <c r="J21" s="591"/>
      <c r="K21" s="591"/>
      <c r="L21" s="591"/>
      <c r="M21" s="591"/>
      <c r="N21" s="591"/>
      <c r="O21" s="591"/>
    </row>
    <row r="22" spans="2:15" hidden="1" x14ac:dyDescent="0.25">
      <c r="D22" s="591"/>
      <c r="E22" s="592" t="str">
        <f>'YEAR 1'!C58&amp;" @ an annual salary of "&amp;DOLLAR('YEAR 1'!F58,"$0")&amp;" for "&amp;'YEAR 1'!O58&amp;" months ="&amp;DOLLAR('YEAR 1'!P58,"$0")</f>
        <v xml:space="preserve"> @ an annual salary of $52,458 for  months =$0</v>
      </c>
      <c r="F22" s="591"/>
      <c r="G22" s="591"/>
      <c r="H22" s="591"/>
      <c r="I22" s="591"/>
      <c r="J22" s="591"/>
      <c r="K22" s="591"/>
      <c r="L22" s="591"/>
      <c r="M22" s="591"/>
      <c r="N22" s="591"/>
      <c r="O22" s="591"/>
    </row>
    <row r="23" spans="2:15" hidden="1" x14ac:dyDescent="0.25">
      <c r="D23" s="591"/>
      <c r="E23" s="592" t="str">
        <f>'YEAR 1'!C61&amp;" @ an annual salary of "&amp;DOLLAR('YEAR 1'!F61,"$0")&amp;" for "&amp;'YEAR 1'!O61&amp;" months ="&amp;DOLLAR('YEAR 1'!P61,"$0")</f>
        <v>1 @ an annual salary of $52,458 for  months =$0</v>
      </c>
      <c r="F23" s="591"/>
      <c r="G23" s="591"/>
      <c r="H23" s="591"/>
      <c r="I23" s="591"/>
      <c r="J23" s="591"/>
      <c r="K23" s="591"/>
      <c r="L23" s="591"/>
      <c r="M23" s="591"/>
      <c r="N23" s="591"/>
      <c r="O23" s="591"/>
    </row>
    <row r="24" spans="2:15" hidden="1" x14ac:dyDescent="0.25">
      <c r="D24" s="591"/>
      <c r="E24" s="592" t="str">
        <f>'YEAR 1'!C64&amp;" @ an annual salary of "&amp;DOLLAR('YEAR 1'!F64,"$0")&amp;" for "&amp;'YEAR 1'!O64&amp;" months ="&amp;DOLLAR('YEAR 1'!P64,"$0")</f>
        <v>1 @ an annual salary of $24,960 for  months =$0</v>
      </c>
      <c r="F24" s="591"/>
      <c r="G24" s="591"/>
      <c r="H24" s="591"/>
      <c r="I24" s="591"/>
      <c r="J24" s="591"/>
      <c r="K24" s="591"/>
      <c r="L24" s="591"/>
      <c r="M24" s="591"/>
      <c r="N24" s="591"/>
      <c r="O24" s="591"/>
    </row>
    <row r="25" spans="2:15" ht="5.25" customHeight="1" x14ac:dyDescent="0.25">
      <c r="D25" s="591"/>
      <c r="E25" s="592"/>
      <c r="F25" s="591"/>
      <c r="G25" s="591"/>
      <c r="H25" s="591"/>
      <c r="I25" s="591"/>
      <c r="J25" s="591"/>
      <c r="K25" s="591"/>
      <c r="L25" s="591"/>
      <c r="M25" s="591"/>
      <c r="N25" s="591"/>
      <c r="O25" s="591"/>
    </row>
    <row r="26" spans="2:15" x14ac:dyDescent="0.25">
      <c r="B26" s="4" t="s">
        <v>182</v>
      </c>
      <c r="C26" s="4" t="s">
        <v>750</v>
      </c>
      <c r="D26" s="591"/>
      <c r="E26" s="592"/>
      <c r="F26" s="591"/>
      <c r="G26" s="591"/>
      <c r="H26" s="591"/>
      <c r="I26" s="591"/>
      <c r="J26" s="591"/>
      <c r="K26" s="591"/>
      <c r="L26" s="591"/>
      <c r="M26" s="591"/>
      <c r="N26" s="591"/>
      <c r="O26" s="591"/>
    </row>
    <row r="27" spans="2:15" ht="30" customHeight="1" x14ac:dyDescent="0.25">
      <c r="D27" s="717" t="str">
        <f>"Fringe benefits are calculated at the aprroved negotiated rate of "&amp;TEXT('YEAR 1'!B14,"0%")&amp;" for all full-time staff &amp; "&amp;TEXT('YEAR 1'!B47,"0%")&amp;" for all students. This number consists of the following breakdown of expenses:"</f>
        <v>Fringe benefits are calculated at the aprroved negotiated rate of 0% for all full-time staff &amp; 0% for all students. This number consists of the following breakdown of expenses:</v>
      </c>
      <c r="E27" s="717"/>
      <c r="F27" s="717"/>
      <c r="G27" s="717"/>
      <c r="H27" s="717"/>
      <c r="I27" s="717"/>
      <c r="J27" s="717"/>
      <c r="K27" s="717"/>
      <c r="L27" s="717"/>
      <c r="M27" s="717"/>
      <c r="N27" s="717"/>
      <c r="O27" s="717"/>
    </row>
    <row r="28" spans="2:15" x14ac:dyDescent="0.25">
      <c r="D28" s="601"/>
      <c r="E28" s="595"/>
      <c r="F28" s="601"/>
      <c r="G28" s="601"/>
      <c r="H28" s="14" t="s">
        <v>751</v>
      </c>
      <c r="I28" s="14"/>
      <c r="J28" s="14" t="s">
        <v>752</v>
      </c>
      <c r="K28" s="601"/>
      <c r="L28" s="601"/>
      <c r="M28" s="601"/>
      <c r="N28" s="601"/>
      <c r="O28" s="601"/>
    </row>
    <row r="29" spans="2:15" x14ac:dyDescent="0.25">
      <c r="D29" s="591"/>
      <c r="E29" s="17" t="s">
        <v>753</v>
      </c>
      <c r="F29"/>
      <c r="G29" s="591"/>
      <c r="H29" s="7">
        <v>6.2E-2</v>
      </c>
      <c r="I29"/>
      <c r="J29" s="7">
        <v>6.2E-2</v>
      </c>
      <c r="K29"/>
      <c r="L29"/>
      <c r="M29"/>
      <c r="N29"/>
      <c r="O29" s="591"/>
    </row>
    <row r="30" spans="2:15" x14ac:dyDescent="0.25">
      <c r="D30"/>
      <c r="E30" s="17" t="s">
        <v>754</v>
      </c>
      <c r="F30"/>
      <c r="G30" s="591"/>
      <c r="H30" s="7">
        <v>1.4500000000000001E-2</v>
      </c>
      <c r="I30" s="591"/>
      <c r="J30" s="7">
        <v>1.4500000000000001E-2</v>
      </c>
      <c r="K30"/>
      <c r="L30"/>
      <c r="M30"/>
      <c r="N30" s="591"/>
      <c r="O30" s="591"/>
    </row>
    <row r="31" spans="2:15" x14ac:dyDescent="0.25">
      <c r="D31"/>
      <c r="E31" s="17" t="s">
        <v>755</v>
      </c>
      <c r="F31"/>
      <c r="G31" s="7"/>
      <c r="H31" s="7">
        <v>0.06</v>
      </c>
      <c r="I31" s="591"/>
      <c r="J31"/>
      <c r="K31"/>
      <c r="L31"/>
      <c r="M31"/>
      <c r="N31" s="6"/>
      <c r="O31" s="591"/>
    </row>
    <row r="32" spans="2:15" x14ac:dyDescent="0.25">
      <c r="D32"/>
      <c r="E32" s="17" t="s">
        <v>756</v>
      </c>
      <c r="F32"/>
      <c r="G32" s="591"/>
      <c r="H32" s="7">
        <v>0.06</v>
      </c>
      <c r="I32" s="591"/>
      <c r="J32"/>
      <c r="K32"/>
      <c r="L32"/>
      <c r="M32"/>
      <c r="N32"/>
      <c r="O32" s="591"/>
    </row>
    <row r="33" spans="2:15" x14ac:dyDescent="0.25">
      <c r="C33" s="8"/>
      <c r="D33" s="9"/>
      <c r="E33" s="17" t="s">
        <v>757</v>
      </c>
      <c r="F33"/>
      <c r="G33" s="591"/>
      <c r="H33" s="7">
        <v>2.2000000000000001E-3</v>
      </c>
      <c r="I33"/>
      <c r="J33"/>
      <c r="K33"/>
      <c r="L33"/>
      <c r="M33"/>
      <c r="N33"/>
      <c r="O33" s="591"/>
    </row>
    <row r="34" spans="2:15" x14ac:dyDescent="0.25">
      <c r="C34" s="10" t="s">
        <v>758</v>
      </c>
      <c r="D34" s="9"/>
      <c r="E34" s="17" t="s">
        <v>759</v>
      </c>
      <c r="F34"/>
      <c r="G34" s="591"/>
      <c r="H34" s="7">
        <v>4.0000000000000002E-4</v>
      </c>
      <c r="I34"/>
      <c r="J34"/>
      <c r="K34"/>
      <c r="L34"/>
      <c r="M34"/>
      <c r="N34"/>
      <c r="O34" s="591"/>
    </row>
    <row r="35" spans="2:15" x14ac:dyDescent="0.25">
      <c r="C35" s="10" t="s">
        <v>760</v>
      </c>
      <c r="D35" s="15" t="str">
        <f>TEXT('YEAR 1'!B14,"0%")</f>
        <v>0%</v>
      </c>
      <c r="E35" s="17" t="s">
        <v>761</v>
      </c>
      <c r="F35"/>
      <c r="G35" s="591"/>
      <c r="H35" s="6" t="s">
        <v>762</v>
      </c>
      <c r="I35"/>
      <c r="J35"/>
      <c r="K35"/>
      <c r="L35"/>
      <c r="M35"/>
      <c r="N35"/>
      <c r="O35" s="591"/>
    </row>
    <row r="36" spans="2:15" ht="5.25" customHeight="1" x14ac:dyDescent="0.25">
      <c r="D36" s="6"/>
      <c r="E36" s="2"/>
      <c r="F36"/>
      <c r="G36"/>
      <c r="H36"/>
      <c r="I36"/>
      <c r="J36"/>
      <c r="K36"/>
      <c r="L36"/>
      <c r="M36"/>
      <c r="N36"/>
      <c r="O36" s="591"/>
    </row>
    <row r="37" spans="2:15" x14ac:dyDescent="0.25">
      <c r="C37" s="10" t="s">
        <v>763</v>
      </c>
      <c r="D37" s="15" t="str">
        <f>TEXT('YEAR 1'!B47,"0%")</f>
        <v>0%</v>
      </c>
      <c r="E37" s="17" t="s">
        <v>764</v>
      </c>
      <c r="F37"/>
      <c r="G37" s="591"/>
      <c r="H37" s="13">
        <v>0.24</v>
      </c>
      <c r="I37"/>
      <c r="J37" s="13">
        <v>0.08</v>
      </c>
      <c r="K37"/>
      <c r="L37"/>
      <c r="M37"/>
      <c r="N37"/>
      <c r="O37" s="591"/>
    </row>
    <row r="38" spans="2:15" ht="5.25" customHeight="1" x14ac:dyDescent="0.25">
      <c r="D38"/>
      <c r="E38" s="17"/>
      <c r="F38"/>
      <c r="G38" s="591"/>
      <c r="H38" s="7"/>
      <c r="I38"/>
      <c r="J38"/>
      <c r="K38"/>
      <c r="L38"/>
      <c r="M38"/>
      <c r="N38"/>
      <c r="O38" s="591"/>
    </row>
    <row r="39" spans="2:15" x14ac:dyDescent="0.25">
      <c r="D39" s="717" t="str">
        <f>"Total Fringe Benefits charged to this proposal equal ="&amp;C34&amp;" ("&amp;C35&amp;" * "&amp;D35&amp;") + ("&amp;C37&amp;" * "&amp;D37&amp;")"</f>
        <v>Total Fringe Benefits charged to this proposal equal =$6,428 ($17,833 * 0%) + ($26,847 * 0%)</v>
      </c>
      <c r="E39" s="717"/>
      <c r="F39" s="717"/>
      <c r="G39" s="717"/>
      <c r="H39" s="717"/>
      <c r="I39" s="717"/>
      <c r="J39" s="717"/>
      <c r="K39" s="717"/>
      <c r="L39" s="717"/>
      <c r="M39" s="717"/>
      <c r="N39" s="717"/>
      <c r="O39" s="717"/>
    </row>
    <row r="40" spans="2:15" ht="4.5" customHeight="1" x14ac:dyDescent="0.25">
      <c r="D40" s="591"/>
      <c r="E40" s="592"/>
      <c r="F40" s="591"/>
      <c r="G40" s="591"/>
      <c r="H40" s="591"/>
      <c r="I40" s="591"/>
      <c r="J40" s="591"/>
      <c r="K40" s="591"/>
      <c r="L40" s="591"/>
      <c r="M40" s="591"/>
      <c r="N40" s="591"/>
      <c r="O40" s="591"/>
    </row>
    <row r="41" spans="2:15" x14ac:dyDescent="0.25">
      <c r="B41" s="4" t="s">
        <v>184</v>
      </c>
      <c r="C41" s="4" t="s">
        <v>765</v>
      </c>
      <c r="D41" s="591"/>
      <c r="E41" s="592"/>
      <c r="F41" s="591"/>
      <c r="G41" s="591"/>
      <c r="H41" s="591"/>
      <c r="I41" s="591"/>
      <c r="J41" s="591"/>
      <c r="K41" s="591"/>
      <c r="L41" s="591"/>
      <c r="M41" s="591"/>
      <c r="N41" s="591"/>
      <c r="O41" s="591"/>
    </row>
    <row r="42" spans="2:15" x14ac:dyDescent="0.25">
      <c r="B42" s="10"/>
      <c r="C42" s="10"/>
      <c r="D42" s="719" t="s">
        <v>766</v>
      </c>
      <c r="E42" s="719"/>
      <c r="F42" s="719"/>
      <c r="G42" s="719"/>
      <c r="H42" s="719"/>
      <c r="I42" s="719"/>
      <c r="J42" s="719"/>
      <c r="K42" s="719"/>
      <c r="L42" s="719"/>
      <c r="M42" s="719"/>
      <c r="N42" s="719"/>
      <c r="O42" s="719"/>
    </row>
    <row r="43" spans="2:15" x14ac:dyDescent="0.25">
      <c r="B43" s="10"/>
      <c r="C43" s="10"/>
      <c r="D43" s="11"/>
      <c r="E43" s="596">
        <f>'YEAR 1'!Q79</f>
        <v>0</v>
      </c>
      <c r="F43" s="591"/>
      <c r="G43" s="591" t="s">
        <v>767</v>
      </c>
      <c r="H43" s="591"/>
      <c r="I43" s="591"/>
      <c r="J43" s="591"/>
      <c r="K43" s="591"/>
      <c r="L43" s="591"/>
      <c r="M43" s="591"/>
      <c r="N43" s="591"/>
      <c r="O43" s="591"/>
    </row>
    <row r="44" spans="2:15" ht="13.5" customHeight="1" x14ac:dyDescent="0.25">
      <c r="B44" s="10"/>
      <c r="C44" s="8"/>
      <c r="D44" s="12"/>
      <c r="E44" s="592">
        <f>'YEAR 1'!AD79*'YEAR 1'!AC79</f>
        <v>0</v>
      </c>
      <c r="F44" s="602"/>
      <c r="G44" s="719" t="str">
        <f>DOLLAR('YEAR 1'!AD79,"$0")&amp;" perdiem for "&amp;'YEAR 1'!AC78&amp;" travel days at a total of "&amp;DOLLAR('YEAR 1'!AD79*'YEAR 1'!AC79,"$0")</f>
        <v>$0 perdiem for  travel days at a total of $0</v>
      </c>
      <c r="H44" s="719"/>
      <c r="I44" s="719"/>
      <c r="J44" s="719"/>
      <c r="K44" s="602"/>
      <c r="L44" s="602"/>
      <c r="M44" s="602"/>
      <c r="N44" s="602"/>
      <c r="O44" s="602"/>
    </row>
    <row r="45" spans="2:15" x14ac:dyDescent="0.25">
      <c r="B45" s="8"/>
      <c r="C45" s="8"/>
      <c r="D45" s="12"/>
      <c r="E45" s="592" t="e">
        <f>'YEAR 1'!#REF!*'YEAR 1'!P79</f>
        <v>#REF!</v>
      </c>
      <c r="F45" s="591"/>
      <c r="G45" s="719" t="e">
        <f>'YEAR 1'!#REF!&amp;" perdiem for "&amp;'YEAR 1'!P78&amp;" on-site days at a total of "&amp;DOLLAR('YEAR 1'!#REF!*'YEAR 1'!P79,"$0")</f>
        <v>#REF!</v>
      </c>
      <c r="H45" s="719"/>
      <c r="I45" s="719"/>
      <c r="J45" s="719"/>
      <c r="K45" s="591"/>
      <c r="L45" s="591"/>
      <c r="M45" s="591"/>
      <c r="N45" s="591"/>
      <c r="O45" s="591"/>
    </row>
    <row r="46" spans="2:15" x14ac:dyDescent="0.25">
      <c r="B46" s="10"/>
      <c r="C46" s="10"/>
      <c r="D46" s="11"/>
      <c r="E46" s="597">
        <f>'YEAR 1'!AQ79</f>
        <v>0</v>
      </c>
      <c r="F46" s="602"/>
      <c r="G46" s="719" t="s">
        <v>768</v>
      </c>
      <c r="H46" s="719"/>
      <c r="I46" s="719"/>
      <c r="J46" s="719"/>
      <c r="K46" s="719"/>
      <c r="L46" s="602"/>
      <c r="M46" s="602"/>
      <c r="N46" s="602"/>
      <c r="O46" s="602"/>
    </row>
    <row r="47" spans="2:15" x14ac:dyDescent="0.25">
      <c r="B47" s="10"/>
      <c r="C47" s="8"/>
      <c r="D47" s="591"/>
      <c r="E47" s="592" t="e">
        <f>SUM(E43:E46)</f>
        <v>#REF!</v>
      </c>
      <c r="F47" s="591"/>
      <c r="G47" s="591"/>
      <c r="H47" s="591"/>
      <c r="I47" s="591"/>
      <c r="J47" s="591"/>
      <c r="K47" s="591"/>
      <c r="L47" s="591"/>
      <c r="M47" s="591"/>
      <c r="N47" s="591"/>
      <c r="O47" s="591"/>
    </row>
    <row r="48" spans="2:15" x14ac:dyDescent="0.25">
      <c r="B48" s="10"/>
      <c r="C48" s="8"/>
      <c r="D48" s="591"/>
      <c r="E48" s="592"/>
      <c r="F48" s="591"/>
      <c r="G48" s="591"/>
      <c r="H48" s="591"/>
      <c r="I48" s="591"/>
      <c r="J48" s="591"/>
      <c r="K48" s="591"/>
      <c r="L48" s="591"/>
      <c r="M48" s="591"/>
      <c r="N48" s="591"/>
      <c r="O48" s="591"/>
    </row>
    <row r="49" spans="2:7" ht="5.25" customHeight="1" x14ac:dyDescent="0.25">
      <c r="D49" s="591"/>
      <c r="E49" s="592"/>
      <c r="F49" s="591"/>
      <c r="G49" s="591"/>
    </row>
    <row r="50" spans="2:7" x14ac:dyDescent="0.25">
      <c r="B50" s="4" t="s">
        <v>670</v>
      </c>
      <c r="C50" s="4" t="s">
        <v>769</v>
      </c>
      <c r="D50" s="591"/>
      <c r="E50" s="592"/>
      <c r="F50" s="591"/>
      <c r="G50" s="591"/>
    </row>
    <row r="51" spans="2:7" x14ac:dyDescent="0.25">
      <c r="D51" s="591" t="s">
        <v>770</v>
      </c>
      <c r="E51" s="592"/>
      <c r="F51" s="591"/>
      <c r="G51" s="591"/>
    </row>
    <row r="52" spans="2:7" ht="3" customHeight="1" x14ac:dyDescent="0.25">
      <c r="D52" s="591"/>
      <c r="E52" s="592"/>
      <c r="F52" s="591"/>
      <c r="G52" s="591"/>
    </row>
    <row r="53" spans="2:7" x14ac:dyDescent="0.25">
      <c r="B53" s="4" t="s">
        <v>672</v>
      </c>
      <c r="C53" s="4" t="s">
        <v>771</v>
      </c>
      <c r="D53" s="591"/>
      <c r="E53" s="592"/>
      <c r="F53" s="591"/>
      <c r="G53" s="591"/>
    </row>
    <row r="54" spans="2:7" x14ac:dyDescent="0.25">
      <c r="D54" s="591"/>
      <c r="E54" s="592">
        <f>'YEAR 1'!P156</f>
        <v>0</v>
      </c>
      <c r="F54" s="591"/>
      <c r="G54" s="591" t="s">
        <v>772</v>
      </c>
    </row>
    <row r="55" spans="2:7" x14ac:dyDescent="0.25">
      <c r="D55" s="591"/>
      <c r="E55" s="597">
        <f>'YEAR 1'!P162</f>
        <v>0</v>
      </c>
      <c r="F55" s="591"/>
      <c r="G55" s="591">
        <f>'YEAR 1'!D162</f>
        <v>0</v>
      </c>
    </row>
    <row r="56" spans="2:7" x14ac:dyDescent="0.25">
      <c r="D56" s="591"/>
      <c r="E56" s="592">
        <f>SUM(E54:E55)</f>
        <v>0</v>
      </c>
      <c r="F56" s="591"/>
      <c r="G56" s="591"/>
    </row>
    <row r="57" spans="2:7" ht="6" customHeight="1" x14ac:dyDescent="0.25">
      <c r="D57" s="591"/>
      <c r="E57" s="592"/>
      <c r="F57" s="591"/>
      <c r="G57" s="591"/>
    </row>
    <row r="58" spans="2:7" x14ac:dyDescent="0.25">
      <c r="B58" s="4" t="s">
        <v>674</v>
      </c>
      <c r="C58" s="4" t="s">
        <v>773</v>
      </c>
      <c r="D58" s="591"/>
      <c r="E58" s="592"/>
      <c r="F58" s="591"/>
      <c r="G58" s="591"/>
    </row>
    <row r="59" spans="2:7" x14ac:dyDescent="0.25">
      <c r="D59" s="591"/>
      <c r="E59" s="592">
        <f>'YEAR 1'!P196</f>
        <v>0</v>
      </c>
      <c r="F59" s="591"/>
      <c r="G59" s="591" t="s">
        <v>774</v>
      </c>
    </row>
    <row r="60" spans="2:7" ht="6" customHeight="1" x14ac:dyDescent="0.25">
      <c r="D60" s="591"/>
      <c r="E60" s="592"/>
      <c r="F60" s="591"/>
      <c r="G60" s="591"/>
    </row>
    <row r="61" spans="2:7" x14ac:dyDescent="0.25">
      <c r="B61" s="4" t="s">
        <v>676</v>
      </c>
      <c r="C61" s="4" t="s">
        <v>775</v>
      </c>
      <c r="D61" s="591"/>
      <c r="E61" s="592"/>
      <c r="F61" s="591"/>
      <c r="G61" s="591"/>
    </row>
    <row r="62" spans="2:7" x14ac:dyDescent="0.25">
      <c r="D62" s="591" t="s">
        <v>776</v>
      </c>
      <c r="E62" s="592"/>
      <c r="F62" s="591"/>
      <c r="G62" s="591"/>
    </row>
    <row r="63" spans="2:7" ht="5.25" customHeight="1" x14ac:dyDescent="0.25">
      <c r="D63" s="591"/>
      <c r="E63" s="592"/>
      <c r="F63" s="591"/>
      <c r="G63" s="591"/>
    </row>
    <row r="64" spans="2:7" x14ac:dyDescent="0.25">
      <c r="B64" s="4" t="s">
        <v>678</v>
      </c>
      <c r="C64" s="4" t="s">
        <v>777</v>
      </c>
      <c r="D64" s="591"/>
      <c r="E64" s="592"/>
      <c r="F64" s="591"/>
      <c r="G64" s="591"/>
    </row>
    <row r="65" spans="2:15" ht="28.5" customHeight="1" x14ac:dyDescent="0.25">
      <c r="B65" s="10"/>
      <c r="D65" s="716" t="s">
        <v>778</v>
      </c>
      <c r="E65" s="716"/>
      <c r="F65" s="716"/>
      <c r="G65" s="716"/>
      <c r="H65" s="716"/>
      <c r="I65" s="716"/>
      <c r="J65" s="716"/>
      <c r="K65" s="716"/>
      <c r="L65" s="716"/>
      <c r="M65" s="716"/>
      <c r="N65" s="716"/>
      <c r="O65" s="716"/>
    </row>
    <row r="66" spans="2:15" x14ac:dyDescent="0.25">
      <c r="B66" s="10"/>
      <c r="D66" s="716" t="e">
        <f>#REF!</f>
        <v>#REF!</v>
      </c>
      <c r="E66" s="716"/>
      <c r="F66" s="716"/>
      <c r="G66" s="716"/>
      <c r="H66" s="716"/>
      <c r="I66" s="716"/>
      <c r="J66" s="716"/>
      <c r="K66" s="716"/>
      <c r="L66" s="716"/>
      <c r="M66" s="716"/>
      <c r="N66" s="716"/>
      <c r="O66" s="716"/>
    </row>
    <row r="67" spans="2:15" x14ac:dyDescent="0.25">
      <c r="B67" s="10"/>
      <c r="D67" s="600"/>
      <c r="E67" s="716" t="e">
        <f>#REF!&amp;" = "&amp;TEXT(#REF!,"")&amp;#REF!&amp;" credits per student @ "&amp;DOLLAR(#REF!,2)&amp;" for a total of "&amp;DOLLAR(#REF!,2)&amp;" per 1st semester"</f>
        <v>#REF!</v>
      </c>
      <c r="F67" s="716"/>
      <c r="G67" s="716"/>
      <c r="H67" s="716"/>
      <c r="I67" s="716"/>
      <c r="J67" s="716"/>
      <c r="K67" s="716"/>
      <c r="L67" s="716"/>
      <c r="M67" s="716"/>
      <c r="N67" s="716"/>
      <c r="O67" s="716"/>
    </row>
    <row r="68" spans="2:15" x14ac:dyDescent="0.25">
      <c r="B68" s="10"/>
      <c r="D68" s="600"/>
      <c r="E68" s="716" t="e">
        <f>#REF!&amp;" = "&amp;TEXT(#REF!,"")&amp;#REF!&amp;" credits per student @ "&amp;DOLLAR(#REF!,2)&amp;" for a total of "&amp;DOLLAR(#REF!,2)&amp;" per 2nd semester"</f>
        <v>#REF!</v>
      </c>
      <c r="F68" s="716"/>
      <c r="G68" s="716"/>
      <c r="H68" s="716"/>
      <c r="I68" s="716"/>
      <c r="J68" s="716"/>
      <c r="K68" s="716"/>
      <c r="L68" s="716"/>
      <c r="M68" s="716"/>
      <c r="N68" s="716"/>
      <c r="O68" s="716"/>
    </row>
    <row r="69" spans="2:15" x14ac:dyDescent="0.25">
      <c r="B69" s="10"/>
      <c r="D69" s="600"/>
      <c r="E69" s="716" t="e">
        <f>#REF!&amp;" = "&amp;TEXT(#REF!,"")&amp;#REF!&amp;" credits per student @ "&amp;DOLLAR(#REF!,2)&amp;" for a total of "&amp;DOLLAR(#REF!,2)&amp;" per 3rd summer semester"</f>
        <v>#REF!</v>
      </c>
      <c r="F69" s="716"/>
      <c r="G69" s="716"/>
      <c r="H69" s="716"/>
      <c r="I69" s="716"/>
      <c r="J69" s="716"/>
      <c r="K69" s="716"/>
      <c r="L69" s="716"/>
      <c r="M69" s="716"/>
      <c r="N69" s="716"/>
      <c r="O69" s="716"/>
    </row>
    <row r="70" spans="2:15" x14ac:dyDescent="0.25">
      <c r="B70" s="10"/>
      <c r="D70" s="716" t="str">
        <f>'YEAR 1'!D205&amp;" – machine rate for the friction stir welder (FSW)@ "&amp;DOLLAR('YEAR 1'!P205,0)&amp;" "&amp;'YEAR 1'!D206&amp;" usage fees for preparation &amp; characterization of samples, etc. estimated @"&amp;DOLLAR('YEAR 1'!P206,0)</f>
        <v xml:space="preserve"> – machine rate for the friction stir welder (FSW)@ $0  usage fees for preparation &amp; characterization of samples, etc. estimated @$0</v>
      </c>
      <c r="E70" s="716"/>
      <c r="F70" s="716"/>
      <c r="G70" s="716"/>
      <c r="H70" s="716"/>
      <c r="I70" s="716"/>
      <c r="J70" s="716"/>
      <c r="K70" s="716"/>
      <c r="L70" s="716"/>
      <c r="M70" s="716"/>
      <c r="N70" s="716"/>
      <c r="O70" s="716"/>
    </row>
    <row r="71" spans="2:15" x14ac:dyDescent="0.25">
      <c r="B71" s="10"/>
      <c r="D71" s="716"/>
      <c r="E71" s="716"/>
      <c r="F71" s="716"/>
      <c r="G71" s="716"/>
      <c r="H71" s="716"/>
      <c r="I71" s="716"/>
      <c r="J71" s="716"/>
      <c r="K71" s="716"/>
      <c r="L71" s="716"/>
      <c r="M71" s="716"/>
      <c r="N71" s="716"/>
      <c r="O71" s="716"/>
    </row>
    <row r="72" spans="2:15" ht="5.25" customHeight="1" x14ac:dyDescent="0.25">
      <c r="D72" s="591"/>
      <c r="E72" s="592"/>
      <c r="F72" s="591"/>
      <c r="G72" s="591"/>
      <c r="H72" s="591"/>
      <c r="I72" s="591"/>
      <c r="J72" s="591"/>
      <c r="K72" s="591"/>
      <c r="L72" s="591"/>
      <c r="M72" s="591"/>
      <c r="N72" s="591"/>
      <c r="O72" s="591"/>
    </row>
    <row r="73" spans="2:15" x14ac:dyDescent="0.25">
      <c r="B73" s="4" t="s">
        <v>682</v>
      </c>
      <c r="C73" s="4" t="s">
        <v>779</v>
      </c>
      <c r="D73" s="591"/>
      <c r="E73" s="592"/>
      <c r="F73" s="591"/>
      <c r="G73" s="591"/>
      <c r="H73" s="591"/>
      <c r="I73" s="591"/>
      <c r="J73" s="591"/>
      <c r="K73" s="591"/>
      <c r="L73" s="591"/>
      <c r="M73" s="591"/>
      <c r="N73" s="591"/>
      <c r="O73" s="591"/>
    </row>
    <row r="74" spans="2:15" x14ac:dyDescent="0.25">
      <c r="B74" s="10"/>
      <c r="C74" s="10"/>
      <c r="D74" s="717" t="str">
        <f>"The currently negotiated and approved indirect rate for the School of Mines is "&amp;TEXT('YEAR 1'!B249,"0.0%")&amp;"."</f>
        <v>The currently negotiated and approved indirect rate for the School of Mines is 0.0%.</v>
      </c>
      <c r="E74" s="717"/>
      <c r="F74" s="717"/>
      <c r="G74" s="717"/>
      <c r="H74" s="717"/>
      <c r="I74" s="717"/>
      <c r="J74" s="717"/>
      <c r="K74" s="717"/>
      <c r="L74" s="717"/>
      <c r="M74" s="717"/>
      <c r="N74" s="717"/>
      <c r="O74" s="717"/>
    </row>
    <row r="75" spans="2:15" x14ac:dyDescent="0.25">
      <c r="B75" s="8"/>
      <c r="C75" s="8"/>
      <c r="D75" s="591"/>
      <c r="E75" s="718" t="s">
        <v>780</v>
      </c>
      <c r="F75" s="718"/>
      <c r="G75" s="718"/>
      <c r="H75" s="718"/>
      <c r="I75" s="718"/>
      <c r="J75" s="718"/>
      <c r="K75" s="718"/>
      <c r="L75" s="718"/>
      <c r="M75" s="718"/>
      <c r="N75" s="718"/>
      <c r="O75" s="718"/>
    </row>
    <row r="76" spans="2:15" x14ac:dyDescent="0.25">
      <c r="B76" s="10"/>
      <c r="C76" s="10"/>
      <c r="D76" s="11"/>
      <c r="E76" s="718"/>
      <c r="F76" s="718"/>
      <c r="G76" s="718"/>
      <c r="H76" s="718"/>
      <c r="I76" s="718"/>
      <c r="J76" s="718"/>
      <c r="K76" s="718"/>
      <c r="L76" s="718"/>
      <c r="M76" s="718"/>
      <c r="N76" s="718"/>
      <c r="O76" s="718"/>
    </row>
    <row r="77" spans="2:15" x14ac:dyDescent="0.25">
      <c r="B77" s="10"/>
      <c r="C77" s="10"/>
      <c r="D77" s="10"/>
      <c r="E77" s="592"/>
      <c r="F77" s="591"/>
      <c r="G77" s="591"/>
      <c r="H77" s="591"/>
      <c r="I77" s="591"/>
      <c r="J77" s="591"/>
      <c r="K77" s="591"/>
      <c r="L77" s="591"/>
      <c r="M77" s="591"/>
      <c r="N77" s="591"/>
      <c r="O77" s="591"/>
    </row>
    <row r="78" spans="2:15" x14ac:dyDescent="0.25">
      <c r="B78" s="10"/>
      <c r="C78" s="10"/>
      <c r="D78" s="10"/>
      <c r="E78" s="592"/>
      <c r="F78" s="591"/>
      <c r="G78" s="591"/>
      <c r="H78" s="591"/>
      <c r="I78" s="591"/>
      <c r="J78" s="591"/>
      <c r="K78" s="591"/>
      <c r="L78" s="591"/>
      <c r="M78" s="591"/>
      <c r="N78" s="591"/>
      <c r="O78" s="591"/>
    </row>
    <row r="79" spans="2:15" ht="4.5" customHeight="1" x14ac:dyDescent="0.25">
      <c r="B79" s="8"/>
      <c r="C79" s="8"/>
      <c r="D79" s="591"/>
      <c r="E79" s="592"/>
      <c r="F79" s="591"/>
      <c r="G79" s="591"/>
      <c r="H79" s="591"/>
      <c r="I79" s="591"/>
      <c r="J79" s="591"/>
      <c r="K79" s="591"/>
      <c r="L79" s="591"/>
      <c r="M79" s="591"/>
      <c r="N79" s="591"/>
      <c r="O79" s="591"/>
    </row>
    <row r="80" spans="2:15" ht="26.25" customHeight="1" x14ac:dyDescent="0.25">
      <c r="B80" s="10"/>
      <c r="C80" s="10"/>
      <c r="D80" s="602"/>
      <c r="E80" s="602"/>
      <c r="F80" s="602"/>
      <c r="G80" s="602"/>
      <c r="H80" s="602"/>
      <c r="I80" s="602"/>
      <c r="J80" s="602"/>
      <c r="K80" s="602"/>
      <c r="L80" s="602"/>
      <c r="M80" s="602"/>
      <c r="N80" s="602"/>
      <c r="O80" s="602"/>
    </row>
    <row r="82" spans="5:13" x14ac:dyDescent="0.25">
      <c r="E82" s="715" t="str">
        <f>'YEAR 1'!D205&amp;" – machine rate for the friction stir welder (FSW)@ "&amp;DOLLAR('YEAR 1'!P205,0)&amp;" "&amp;'YEAR 1'!D206&amp;" usage fees for preparation &amp; characterization of samples, etc. estimated @"&amp;DOLLAR('YEAR 1'!P206,0)</f>
        <v xml:space="preserve"> – machine rate for the friction stir welder (FSW)@ $0  usage fees for preparation &amp; characterization of samples, etc. estimated @$0</v>
      </c>
      <c r="F82" s="715"/>
      <c r="G82" s="715"/>
      <c r="H82" s="715"/>
      <c r="I82" s="715"/>
      <c r="J82" s="715"/>
      <c r="K82" s="715"/>
      <c r="L82" s="715"/>
      <c r="M82" s="715"/>
    </row>
    <row r="83" spans="5:13" x14ac:dyDescent="0.25">
      <c r="E83" s="715"/>
      <c r="F83" s="715"/>
      <c r="G83" s="715"/>
      <c r="H83" s="715"/>
      <c r="I83" s="715"/>
      <c r="J83" s="715"/>
      <c r="K83" s="715"/>
      <c r="L83" s="715"/>
      <c r="M83" s="715"/>
    </row>
  </sheetData>
  <mergeCells count="20">
    <mergeCell ref="D2:P2"/>
    <mergeCell ref="D3:P3"/>
    <mergeCell ref="D4:P4"/>
    <mergeCell ref="D5:P5"/>
    <mergeCell ref="D42:O42"/>
    <mergeCell ref="D39:O39"/>
    <mergeCell ref="D9:O9"/>
    <mergeCell ref="D27:O27"/>
    <mergeCell ref="D65:O65"/>
    <mergeCell ref="G44:J44"/>
    <mergeCell ref="G45:J45"/>
    <mergeCell ref="G46:K46"/>
    <mergeCell ref="D70:O71"/>
    <mergeCell ref="E82:M83"/>
    <mergeCell ref="D66:O66"/>
    <mergeCell ref="E67:O67"/>
    <mergeCell ref="E68:O68"/>
    <mergeCell ref="E69:O69"/>
    <mergeCell ref="D74:O74"/>
    <mergeCell ref="E75:O76"/>
  </mergeCells>
  <phoneticPr fontId="27" type="noConversion"/>
  <printOptions horizontalCentered="1"/>
  <pageMargins left="0.75" right="0.75" top="1" bottom="1" header="0.5" footer="0.5"/>
  <pageSetup scale="63" orientation="portrait" r:id="rId1"/>
  <headerFooter alignWithMargins="0"/>
  <rowBreaks count="1" manualBreakCount="1">
    <brk id="77"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2:BH260"/>
  <sheetViews>
    <sheetView tabSelected="1" zoomScaleNormal="100" workbookViewId="0">
      <selection activeCell="AS9" sqref="AS9:AU9"/>
    </sheetView>
  </sheetViews>
  <sheetFormatPr defaultColWidth="9" defaultRowHeight="13.8" x14ac:dyDescent="0.3"/>
  <cols>
    <col min="1" max="1" width="2.6640625" style="106" customWidth="1"/>
    <col min="2" max="2" width="3.77734375" style="106" customWidth="1"/>
    <col min="3" max="3" width="7.33203125" style="106" customWidth="1"/>
    <col min="4" max="4" width="29.44140625" style="106" customWidth="1"/>
    <col min="5" max="5" width="0.88671875" style="106" customWidth="1"/>
    <col min="6" max="6" width="8.88671875" style="180" customWidth="1"/>
    <col min="7" max="7" width="0.44140625" style="107" customWidth="1"/>
    <col min="8" max="8" width="4.77734375" style="106" bestFit="1" customWidth="1"/>
    <col min="9" max="9" width="0.88671875" style="106" customWidth="1"/>
    <col min="10" max="10" width="7.109375" style="106" customWidth="1"/>
    <col min="11" max="11" width="0.44140625" style="106" customWidth="1"/>
    <col min="12" max="12" width="4.21875" style="106" customWidth="1"/>
    <col min="13" max="13" width="1" style="106" customWidth="1"/>
    <col min="14" max="14" width="6.21875" style="106" customWidth="1"/>
    <col min="15" max="15" width="2" style="106" customWidth="1"/>
    <col min="16" max="16" width="3.33203125" style="107" customWidth="1"/>
    <col min="17" max="17" width="7.88671875" style="107" customWidth="1"/>
    <col min="18" max="18" width="1" style="106" customWidth="1"/>
    <col min="19" max="20" width="1" style="106" hidden="1" customWidth="1"/>
    <col min="21" max="21" width="4.44140625" style="106" hidden="1" customWidth="1"/>
    <col min="22" max="22" width="0.88671875" style="106" hidden="1" customWidth="1"/>
    <col min="23" max="23" width="5.109375" style="106" hidden="1" customWidth="1"/>
    <col min="24" max="24" width="0.44140625" style="106" hidden="1" customWidth="1"/>
    <col min="25" max="25" width="4.44140625" style="106" hidden="1" customWidth="1"/>
    <col min="26" max="26" width="1" style="106" hidden="1" customWidth="1"/>
    <col min="27" max="27" width="6.21875" style="106" hidden="1" customWidth="1"/>
    <col min="28" max="28" width="1.33203125" style="106" hidden="1" customWidth="1"/>
    <col min="29" max="29" width="3.33203125" style="107" hidden="1" customWidth="1"/>
    <col min="30" max="30" width="7.88671875" style="107" hidden="1" customWidth="1"/>
    <col min="31" max="33" width="1" style="106" hidden="1" customWidth="1"/>
    <col min="34" max="34" width="7.88671875" style="106" hidden="1" customWidth="1"/>
    <col min="35" max="35" width="0.88671875" style="106" hidden="1" customWidth="1"/>
    <col min="36" max="36" width="6.33203125" style="106" hidden="1" customWidth="1"/>
    <col min="37" max="37" width="0.44140625" style="106" hidden="1" customWidth="1"/>
    <col min="38" max="38" width="7" style="106" hidden="1" customWidth="1"/>
    <col min="39" max="39" width="1" style="106" hidden="1" customWidth="1"/>
    <col min="40" max="40" width="6.21875" style="106" hidden="1" customWidth="1"/>
    <col min="41" max="41" width="1.33203125" style="106" hidden="1" customWidth="1"/>
    <col min="42" max="42" width="3.33203125" style="108" hidden="1" customWidth="1"/>
    <col min="43" max="43" width="10.21875" style="108" hidden="1" customWidth="1"/>
    <col min="44" max="44" width="1.33203125" style="106" customWidth="1"/>
    <col min="45" max="45" width="7.88671875" style="177" customWidth="1"/>
    <col min="46" max="46" width="1.109375" style="106" customWidth="1"/>
    <col min="47" max="47" width="7" style="177" customWidth="1"/>
    <col min="48" max="48" width="1.6640625" style="106" hidden="1" customWidth="1"/>
    <col min="49" max="49" width="8.88671875" style="177" hidden="1" customWidth="1"/>
    <col min="50" max="50" width="1.21875" style="106" hidden="1" customWidth="1"/>
    <col min="51" max="51" width="9.109375" style="177" hidden="1" customWidth="1"/>
    <col min="52" max="52" width="1.33203125" style="106" hidden="1" customWidth="1"/>
    <col min="53" max="53" width="7.88671875" style="178" hidden="1" customWidth="1"/>
    <col min="54" max="54" width="4.21875" style="106" hidden="1" customWidth="1"/>
    <col min="55" max="55" width="8.77734375" style="177" hidden="1" customWidth="1"/>
    <col min="56" max="56" width="1.109375" style="106" hidden="1" customWidth="1"/>
    <col min="57" max="57" width="11" style="177" hidden="1" customWidth="1"/>
    <col min="58" max="58" width="1.44140625" style="106" hidden="1" customWidth="1"/>
    <col min="59" max="59" width="11" style="178" hidden="1" customWidth="1"/>
    <col min="60" max="60" width="1.6640625" style="106" hidden="1" customWidth="1"/>
    <col min="61" max="61" width="11" style="106" customWidth="1"/>
    <col min="62" max="62" width="1.33203125" style="106" customWidth="1"/>
    <col min="63" max="68" width="11" style="106" customWidth="1"/>
    <col min="69" max="69" width="9" style="106" customWidth="1"/>
    <col min="70" max="16384" width="9" style="106"/>
  </cols>
  <sheetData>
    <row r="2" spans="1:59" ht="21" x14ac:dyDescent="0.4">
      <c r="D2" s="745" t="s">
        <v>781</v>
      </c>
      <c r="E2" s="745"/>
      <c r="F2" s="745"/>
      <c r="G2" s="745"/>
      <c r="H2" s="745"/>
      <c r="I2" s="745"/>
      <c r="J2" s="745"/>
      <c r="K2" s="745"/>
      <c r="L2" s="745"/>
      <c r="M2" s="745"/>
      <c r="N2" s="745"/>
      <c r="O2" s="745"/>
      <c r="P2" s="745"/>
      <c r="Q2" s="746"/>
      <c r="R2" s="745"/>
      <c r="S2" s="745"/>
      <c r="T2" s="745"/>
      <c r="U2" s="745"/>
      <c r="V2" s="745"/>
      <c r="W2" s="745"/>
      <c r="X2" s="745"/>
      <c r="Y2" s="745"/>
      <c r="Z2" s="747"/>
      <c r="AA2" s="747"/>
      <c r="AB2" s="747"/>
      <c r="AC2" s="747"/>
      <c r="AD2" s="748"/>
      <c r="AE2" s="747"/>
      <c r="AF2" s="747"/>
      <c r="AG2" s="747"/>
      <c r="AH2" s="747"/>
      <c r="AI2" s="747"/>
      <c r="AJ2" s="747"/>
      <c r="AK2" s="747"/>
      <c r="AL2" s="747"/>
      <c r="AM2" s="747"/>
      <c r="AN2" s="747"/>
      <c r="AO2" s="747"/>
      <c r="AP2" s="747"/>
      <c r="AQ2" s="748"/>
      <c r="AR2" s="747"/>
    </row>
    <row r="3" spans="1:59" hidden="1" x14ac:dyDescent="0.3"/>
    <row r="4" spans="1:59" ht="32.25" customHeight="1" x14ac:dyDescent="0.3">
      <c r="D4" s="749">
        <f>Title</f>
        <v>0</v>
      </c>
      <c r="E4" s="749"/>
      <c r="F4" s="749"/>
      <c r="G4" s="749"/>
      <c r="H4" s="749"/>
      <c r="I4" s="749"/>
      <c r="J4" s="749"/>
      <c r="K4" s="749"/>
      <c r="L4" s="749"/>
      <c r="M4" s="749"/>
      <c r="N4" s="749"/>
      <c r="O4" s="749"/>
      <c r="P4" s="749"/>
      <c r="Q4" s="750"/>
      <c r="R4" s="749"/>
      <c r="S4" s="749"/>
      <c r="T4" s="749"/>
      <c r="U4" s="749"/>
      <c r="V4" s="749"/>
      <c r="W4" s="749"/>
      <c r="X4" s="749"/>
      <c r="Y4" s="749"/>
      <c r="Z4" s="749"/>
      <c r="AA4" s="749"/>
      <c r="AB4" s="749"/>
      <c r="AC4" s="749"/>
      <c r="AD4" s="750"/>
      <c r="AE4" s="749"/>
      <c r="AF4" s="749"/>
      <c r="AG4" s="749"/>
      <c r="AH4" s="749"/>
      <c r="AI4" s="749"/>
      <c r="AJ4" s="749"/>
      <c r="AK4" s="749"/>
      <c r="AL4" s="749"/>
      <c r="AM4" s="749"/>
      <c r="AN4" s="749"/>
      <c r="AO4" s="749"/>
      <c r="AP4" s="749"/>
      <c r="AQ4" s="750"/>
      <c r="AR4" s="749"/>
      <c r="AW4" s="177" t="s">
        <v>782</v>
      </c>
      <c r="AY4" s="177" t="s">
        <v>783</v>
      </c>
      <c r="BA4" s="178" t="s">
        <v>784</v>
      </c>
      <c r="BC4" s="177" t="str">
        <f>AW4</f>
        <v>Grant</v>
      </c>
      <c r="BE4" s="177" t="str">
        <f>AY4</f>
        <v>Match</v>
      </c>
      <c r="BG4" s="178" t="str">
        <f>BA4</f>
        <v>Total</v>
      </c>
    </row>
    <row r="5" spans="1:59" x14ac:dyDescent="0.3">
      <c r="D5" s="751" t="str">
        <f>"Year One:  "&amp;TEXT(YR1Start,"mmmm d, yyyy")&amp;" - "&amp;TEXT(YR1End,"mmmm d, yyyy")</f>
        <v>Year One:  January 0, 1900 - December 30, 1900</v>
      </c>
      <c r="E5" s="751"/>
      <c r="F5" s="751"/>
      <c r="G5" s="751"/>
      <c r="H5" s="751"/>
      <c r="I5" s="751"/>
      <c r="J5" s="751"/>
      <c r="K5" s="751"/>
      <c r="L5" s="751"/>
      <c r="M5" s="751"/>
      <c r="N5" s="751"/>
      <c r="O5" s="751"/>
      <c r="P5" s="751"/>
      <c r="Q5" s="752"/>
      <c r="R5" s="751"/>
      <c r="S5" s="751"/>
      <c r="T5" s="751"/>
      <c r="U5" s="751"/>
      <c r="V5" s="751"/>
      <c r="W5" s="751"/>
      <c r="X5" s="751"/>
      <c r="Y5" s="751"/>
      <c r="Z5" s="751"/>
      <c r="AA5" s="751"/>
      <c r="AB5" s="751"/>
      <c r="AC5" s="751"/>
      <c r="AD5" s="752"/>
      <c r="AE5" s="751"/>
      <c r="AF5" s="751"/>
      <c r="AG5" s="751"/>
      <c r="AH5" s="751"/>
      <c r="AI5" s="751"/>
      <c r="AJ5" s="751"/>
      <c r="AK5" s="751"/>
      <c r="AL5" s="751"/>
      <c r="AM5" s="751"/>
      <c r="AN5" s="751"/>
      <c r="AO5" s="751"/>
      <c r="AP5" s="751"/>
      <c r="AQ5" s="752"/>
      <c r="AR5" s="751"/>
    </row>
    <row r="6" spans="1:59" s="467" customFormat="1" ht="3" customHeight="1" x14ac:dyDescent="0.3">
      <c r="D6" s="468"/>
      <c r="E6" s="468"/>
      <c r="F6" s="469"/>
      <c r="G6" s="470"/>
      <c r="P6" s="470"/>
      <c r="Q6" s="470"/>
      <c r="AC6" s="470"/>
      <c r="AD6" s="470"/>
      <c r="AP6" s="471"/>
      <c r="AQ6" s="471"/>
      <c r="AS6" s="472"/>
      <c r="AU6" s="472"/>
      <c r="AW6" s="472"/>
      <c r="AY6" s="472"/>
      <c r="BA6" s="473"/>
      <c r="BC6" s="472"/>
      <c r="BE6" s="472"/>
      <c r="BG6" s="473"/>
    </row>
    <row r="7" spans="1:59" ht="3" customHeight="1" x14ac:dyDescent="0.3">
      <c r="B7" s="21"/>
      <c r="C7" s="21"/>
      <c r="D7" s="21"/>
      <c r="E7" s="21"/>
      <c r="F7" s="389"/>
      <c r="G7" s="21"/>
      <c r="H7" s="21"/>
      <c r="I7" s="21"/>
      <c r="J7" s="21"/>
      <c r="K7" s="21"/>
      <c r="L7" s="21"/>
      <c r="M7" s="21"/>
      <c r="N7" s="21"/>
      <c r="O7" s="21"/>
      <c r="P7" s="21"/>
      <c r="T7" s="317"/>
      <c r="U7" s="155"/>
      <c r="V7" s="155"/>
      <c r="W7" s="155"/>
      <c r="X7" s="155"/>
      <c r="Y7" s="155"/>
      <c r="Z7" s="155"/>
      <c r="AA7" s="155"/>
      <c r="AB7" s="155"/>
      <c r="AC7" s="431"/>
      <c r="AD7" s="431"/>
      <c r="AE7" s="318"/>
    </row>
    <row r="8" spans="1:59" x14ac:dyDescent="0.3">
      <c r="C8" s="442"/>
      <c r="D8" s="442"/>
      <c r="H8" s="756" t="s">
        <v>180</v>
      </c>
      <c r="I8" s="756"/>
      <c r="J8" s="756"/>
      <c r="K8" s="756"/>
      <c r="L8" s="756"/>
      <c r="M8" s="756"/>
      <c r="N8" s="756"/>
      <c r="O8" s="756"/>
      <c r="P8" s="756"/>
      <c r="Q8" s="756"/>
      <c r="R8" s="109"/>
      <c r="S8" s="109"/>
      <c r="T8" s="319"/>
      <c r="U8" s="758" t="s">
        <v>182</v>
      </c>
      <c r="V8" s="758"/>
      <c r="W8" s="758"/>
      <c r="X8" s="758"/>
      <c r="Y8" s="758"/>
      <c r="Z8" s="758"/>
      <c r="AA8" s="758"/>
      <c r="AB8" s="758"/>
      <c r="AC8" s="758"/>
      <c r="AD8" s="758"/>
      <c r="AE8" s="320"/>
      <c r="AF8" s="109"/>
      <c r="AG8" s="109"/>
      <c r="AH8" s="760" t="s">
        <v>785</v>
      </c>
      <c r="AI8" s="760"/>
      <c r="AJ8" s="760"/>
      <c r="AK8" s="760"/>
      <c r="AL8" s="760"/>
      <c r="AM8" s="760"/>
      <c r="AN8" s="760"/>
      <c r="AO8" s="760"/>
      <c r="AP8" s="760"/>
      <c r="AQ8" s="760"/>
      <c r="AS8" s="504"/>
      <c r="AT8" s="155"/>
      <c r="AU8" s="505"/>
    </row>
    <row r="9" spans="1:59" ht="12" customHeight="1" x14ac:dyDescent="0.4">
      <c r="C9" s="442"/>
      <c r="D9" s="442"/>
      <c r="H9" s="757" t="s">
        <v>786</v>
      </c>
      <c r="I9" s="757"/>
      <c r="J9" s="757"/>
      <c r="K9" s="757"/>
      <c r="L9" s="757"/>
      <c r="M9" s="757"/>
      <c r="N9" s="757"/>
      <c r="O9" s="757"/>
      <c r="P9" s="757"/>
      <c r="Q9" s="757"/>
      <c r="R9" s="149"/>
      <c r="S9" s="149"/>
      <c r="T9" s="321"/>
      <c r="U9" s="759" t="s">
        <v>787</v>
      </c>
      <c r="V9" s="759"/>
      <c r="W9" s="759"/>
      <c r="X9" s="759"/>
      <c r="Y9" s="759"/>
      <c r="Z9" s="759"/>
      <c r="AA9" s="759"/>
      <c r="AB9" s="759"/>
      <c r="AC9" s="759"/>
      <c r="AD9" s="759"/>
      <c r="AE9" s="322"/>
      <c r="AH9" s="760" t="s">
        <v>784</v>
      </c>
      <c r="AI9" s="760"/>
      <c r="AJ9" s="760"/>
      <c r="AK9" s="760"/>
      <c r="AL9" s="760"/>
      <c r="AM9" s="760"/>
      <c r="AN9" s="760"/>
      <c r="AO9" s="760"/>
      <c r="AP9" s="760"/>
      <c r="AQ9" s="760"/>
      <c r="AS9" s="753" t="s">
        <v>788</v>
      </c>
      <c r="AT9" s="754"/>
      <c r="AU9" s="755"/>
      <c r="AW9" s="744" t="s">
        <v>789</v>
      </c>
      <c r="AX9" s="744"/>
      <c r="AY9" s="744"/>
      <c r="AZ9" s="744"/>
      <c r="BA9" s="744"/>
      <c r="BB9" s="744"/>
      <c r="BC9" s="744"/>
      <c r="BD9" s="744"/>
      <c r="BE9" s="744"/>
      <c r="BF9" s="744"/>
      <c r="BG9" s="744"/>
    </row>
    <row r="10" spans="1:59" ht="3" customHeight="1" x14ac:dyDescent="0.3">
      <c r="T10" s="323"/>
      <c r="AE10" s="322"/>
      <c r="AS10" s="506"/>
      <c r="AU10" s="507"/>
    </row>
    <row r="11" spans="1:59" ht="36" customHeight="1" x14ac:dyDescent="0.3">
      <c r="D11" s="115"/>
      <c r="E11" s="115"/>
      <c r="F11" s="147" t="s">
        <v>790</v>
      </c>
      <c r="G11" s="394"/>
      <c r="H11" s="148" t="s">
        <v>150</v>
      </c>
      <c r="I11" s="114"/>
      <c r="J11" s="148" t="s">
        <v>791</v>
      </c>
      <c r="K11" s="114"/>
      <c r="L11" s="148" t="s">
        <v>792</v>
      </c>
      <c r="M11" s="114"/>
      <c r="N11" s="148" t="s">
        <v>791</v>
      </c>
      <c r="O11" s="114"/>
      <c r="P11" s="741" t="s">
        <v>793</v>
      </c>
      <c r="Q11" s="741"/>
      <c r="R11" s="149"/>
      <c r="S11" s="149"/>
      <c r="T11" s="321"/>
      <c r="U11" s="304" t="str">
        <f>H11</f>
        <v>Acad</v>
      </c>
      <c r="V11" s="149"/>
      <c r="W11" s="304" t="str">
        <f>J11</f>
        <v>% Effort</v>
      </c>
      <c r="X11" s="149"/>
      <c r="Y11" s="304" t="str">
        <f>L11</f>
        <v>Sumr</v>
      </c>
      <c r="Z11" s="149"/>
      <c r="AA11" s="304" t="str">
        <f>N11</f>
        <v>% Effort</v>
      </c>
      <c r="AB11" s="149"/>
      <c r="AC11" s="742" t="str">
        <f>P11</f>
        <v>Requested Salary/Fringe</v>
      </c>
      <c r="AD11" s="742">
        <f>Q11</f>
        <v>0</v>
      </c>
      <c r="AE11" s="324"/>
      <c r="AF11" s="149"/>
      <c r="AG11" s="149"/>
      <c r="AH11" s="304" t="str">
        <f>H11</f>
        <v>Acad</v>
      </c>
      <c r="AI11" s="149"/>
      <c r="AJ11" s="304" t="str">
        <f>J11</f>
        <v>% Effort</v>
      </c>
      <c r="AK11" s="149"/>
      <c r="AL11" s="304" t="str">
        <f>L11</f>
        <v>Sumr</v>
      </c>
      <c r="AM11" s="149"/>
      <c r="AN11" s="304" t="str">
        <f>N11</f>
        <v>% Effort</v>
      </c>
      <c r="AO11" s="149"/>
      <c r="AP11" s="743" t="str">
        <f>AC11</f>
        <v>Requested Salary/Fringe</v>
      </c>
      <c r="AQ11" s="743">
        <f>AD11</f>
        <v>0</v>
      </c>
      <c r="AS11" s="511" t="s">
        <v>794</v>
      </c>
      <c r="AT11" s="512"/>
      <c r="AU11" s="513" t="s">
        <v>795</v>
      </c>
      <c r="AW11" s="740" t="s">
        <v>796</v>
      </c>
      <c r="AX11" s="740"/>
      <c r="AY11" s="740"/>
      <c r="AZ11" s="740"/>
      <c r="BA11" s="740"/>
      <c r="BC11" s="740" t="s">
        <v>712</v>
      </c>
      <c r="BD11" s="740"/>
      <c r="BE11" s="740"/>
      <c r="BF11" s="740"/>
      <c r="BG11" s="740"/>
    </row>
    <row r="12" spans="1:59" x14ac:dyDescent="0.3">
      <c r="A12" s="118" t="s">
        <v>180</v>
      </c>
      <c r="B12" s="109" t="s">
        <v>797</v>
      </c>
      <c r="D12" s="115"/>
      <c r="E12" s="115"/>
      <c r="O12" s="119"/>
      <c r="P12" s="725"/>
      <c r="Q12" s="725"/>
      <c r="T12" s="323"/>
      <c r="AE12" s="322"/>
      <c r="AS12" s="506"/>
      <c r="AU12" s="507"/>
      <c r="AW12" s="421" t="s">
        <v>782</v>
      </c>
      <c r="AY12" s="420" t="s">
        <v>783</v>
      </c>
      <c r="BA12" s="422" t="s">
        <v>784</v>
      </c>
      <c r="BC12" s="421" t="s">
        <v>782</v>
      </c>
      <c r="BE12" s="420" t="s">
        <v>783</v>
      </c>
      <c r="BG12" s="422" t="s">
        <v>784</v>
      </c>
    </row>
    <row r="13" spans="1:59" ht="14.25" customHeight="1" x14ac:dyDescent="0.3">
      <c r="B13" s="113"/>
      <c r="C13" s="125" t="str">
        <f>"PI ~ "</f>
        <v xml:space="preserve">PI ~ </v>
      </c>
      <c r="D13" s="21">
        <f>PI</f>
        <v>0</v>
      </c>
      <c r="F13" s="180">
        <f>(VLOOKUP(D13,Salaries!$A$3:$I$370,8,FALSE))</f>
        <v>0</v>
      </c>
      <c r="H13" s="385"/>
      <c r="I13" s="306"/>
      <c r="J13" s="307"/>
      <c r="K13" s="307"/>
      <c r="L13" s="385"/>
      <c r="M13" s="305"/>
      <c r="N13" s="307"/>
      <c r="O13" s="146"/>
      <c r="Q13" s="107">
        <f>ROUND(F13/12*H13*J13+F13/12*L13*N13, 0)</f>
        <v>0</v>
      </c>
      <c r="T13" s="323"/>
      <c r="U13" s="385"/>
      <c r="V13" s="306"/>
      <c r="W13" s="307"/>
      <c r="X13" s="307"/>
      <c r="Y13" s="385"/>
      <c r="Z13" s="305"/>
      <c r="AA13" s="307"/>
      <c r="AC13" s="724">
        <f>ROUND((F13/12*U13*W13)+(F13/12*Y13*AA13),0)</f>
        <v>0</v>
      </c>
      <c r="AD13" s="724"/>
      <c r="AE13" s="322"/>
      <c r="AH13" s="150">
        <f>IF(H13+D13&gt;1,IF(Q13+U13&gt;1,(D13+H13+Q13+U13)/2,(D13+H13)),Q13+U13)</f>
        <v>0</v>
      </c>
      <c r="AI13" s="150"/>
      <c r="AJ13" s="308">
        <f>W13+J13</f>
        <v>0</v>
      </c>
      <c r="AK13" s="150"/>
      <c r="AL13" s="150">
        <f>IF(L13+H13&gt;1,IF(U13+Y13&gt;1,(H13+L13+U13+Y13)/2,(H13+L13)),U13+Y13)</f>
        <v>0</v>
      </c>
      <c r="AM13" s="150"/>
      <c r="AN13" s="308">
        <f>AA13+N13</f>
        <v>0</v>
      </c>
      <c r="AO13" s="109"/>
      <c r="AP13" s="735">
        <f>ROUND(SUM(P13:Q14)+SUM(AC13:AD14),0)</f>
        <v>0</v>
      </c>
      <c r="AQ13" s="735"/>
      <c r="AS13" s="508"/>
      <c r="AU13" s="507"/>
      <c r="AW13" s="177">
        <f>Q13</f>
        <v>0</v>
      </c>
      <c r="AY13" s="177">
        <f>ROUND(AC13,0)</f>
        <v>0</v>
      </c>
      <c r="BA13" s="178">
        <f>ROUND(AY13+AW13,0)</f>
        <v>0</v>
      </c>
    </row>
    <row r="14" spans="1:59" ht="13.5" customHeight="1" x14ac:dyDescent="0.3">
      <c r="B14" s="119"/>
      <c r="C14" s="115"/>
      <c r="D14" s="106" t="str">
        <f>"Fringe @ "&amp;TEXT(FRINGE,"0.00%")</f>
        <v>Fringe @ 27.27%</v>
      </c>
      <c r="H14" s="121"/>
      <c r="I14" s="121"/>
      <c r="J14" s="121"/>
      <c r="K14" s="121"/>
      <c r="L14" s="121"/>
      <c r="M14" s="121"/>
      <c r="N14" s="121"/>
      <c r="O14" s="119"/>
      <c r="P14" s="180"/>
      <c r="Q14" s="180">
        <f>ROUND(Q13*FRINGE,0)</f>
        <v>0</v>
      </c>
      <c r="T14" s="323"/>
      <c r="U14" s="121"/>
      <c r="V14" s="121"/>
      <c r="W14" s="121"/>
      <c r="X14" s="121"/>
      <c r="Y14" s="121"/>
      <c r="Z14" s="121"/>
      <c r="AA14" s="121"/>
      <c r="AD14" s="107">
        <f>ROUND(AC13*FRINGE,0)</f>
        <v>0</v>
      </c>
      <c r="AE14" s="322"/>
      <c r="AH14" s="150"/>
      <c r="AI14" s="150"/>
      <c r="AJ14" s="150"/>
      <c r="AK14" s="150"/>
      <c r="AL14" s="150"/>
      <c r="AM14" s="150"/>
      <c r="AN14" s="150"/>
      <c r="AO14" s="109"/>
      <c r="AP14" s="735"/>
      <c r="AQ14" s="735"/>
      <c r="AS14" s="506"/>
      <c r="AU14" s="507"/>
      <c r="BC14" s="177">
        <f>ROUND(Q14,0)</f>
        <v>0</v>
      </c>
      <c r="BE14" s="177">
        <f>ROUND(AD14,0)</f>
        <v>0</v>
      </c>
      <c r="BG14" s="178">
        <f>ROUND(BE14+BC14,0)</f>
        <v>0</v>
      </c>
    </row>
    <row r="15" spans="1:59" ht="3" customHeight="1" x14ac:dyDescent="0.3">
      <c r="B15" s="119"/>
      <c r="C15" s="115"/>
      <c r="H15" s="121"/>
      <c r="I15" s="121"/>
      <c r="J15" s="121"/>
      <c r="K15" s="121"/>
      <c r="L15" s="121"/>
      <c r="M15" s="121"/>
      <c r="N15" s="121"/>
      <c r="O15" s="119"/>
      <c r="P15" s="180"/>
      <c r="Q15" s="180"/>
      <c r="T15" s="323"/>
      <c r="U15" s="121"/>
      <c r="V15" s="121"/>
      <c r="W15" s="121"/>
      <c r="X15" s="121"/>
      <c r="Y15" s="121"/>
      <c r="Z15" s="121"/>
      <c r="AA15" s="121"/>
      <c r="AE15" s="322"/>
      <c r="AH15" s="150"/>
      <c r="AI15" s="150"/>
      <c r="AJ15" s="150"/>
      <c r="AK15" s="150"/>
      <c r="AL15" s="150"/>
      <c r="AM15" s="150"/>
      <c r="AN15" s="150"/>
      <c r="AO15" s="109"/>
      <c r="AP15" s="605"/>
      <c r="AQ15" s="605"/>
      <c r="AS15" s="506"/>
      <c r="AU15" s="507"/>
    </row>
    <row r="16" spans="1:59" ht="14.25" customHeight="1" x14ac:dyDescent="0.3">
      <c r="B16" s="113"/>
      <c r="C16" s="125" t="s">
        <v>798</v>
      </c>
      <c r="D16" s="21"/>
      <c r="F16" s="180">
        <f>(VLOOKUP(D16,Salaries!$A$3:$I$370,8,FALSE))</f>
        <v>0</v>
      </c>
      <c r="H16" s="385"/>
      <c r="I16" s="306"/>
      <c r="J16" s="307"/>
      <c r="K16" s="307"/>
      <c r="L16" s="385"/>
      <c r="M16" s="305"/>
      <c r="N16" s="307"/>
      <c r="O16" s="146"/>
      <c r="Q16" s="107">
        <f>ROUND(F16/12*H16*J16+F16/12*L16*N16, 0)</f>
        <v>0</v>
      </c>
      <c r="T16" s="323"/>
      <c r="U16" s="385"/>
      <c r="V16" s="306"/>
      <c r="W16" s="307"/>
      <c r="X16" s="307"/>
      <c r="Y16" s="385"/>
      <c r="Z16" s="305"/>
      <c r="AA16" s="307"/>
      <c r="AC16" s="724">
        <f>ROUND((F16/12*U16*W16)+(F16/12*Y16*AA16),0)</f>
        <v>0</v>
      </c>
      <c r="AD16" s="724"/>
      <c r="AE16" s="322"/>
      <c r="AH16" s="150">
        <f>IF(H16+D16&gt;1,IF(Q16+U16&gt;1,(D16+H16+Q16+U16)/2,(D16+H16)),Q16+U16)</f>
        <v>0</v>
      </c>
      <c r="AI16" s="150"/>
      <c r="AJ16" s="308">
        <f>W16+J16</f>
        <v>0</v>
      </c>
      <c r="AK16" s="150"/>
      <c r="AL16" s="150">
        <f>IF(L16+H16&gt;1,IF(U16+Y16&gt;1,(H16+L16+U16+Y16)/2,(H16+L16)),U16+Y16)</f>
        <v>0</v>
      </c>
      <c r="AM16" s="150"/>
      <c r="AN16" s="308">
        <f>AA16+N16</f>
        <v>0</v>
      </c>
      <c r="AO16" s="109"/>
      <c r="AP16" s="735">
        <f>ROUND(SUM(P16:Q17)+SUM(AC16:AD17),0)</f>
        <v>0</v>
      </c>
      <c r="AQ16" s="735"/>
      <c r="AS16" s="506"/>
      <c r="AU16" s="507"/>
      <c r="AW16" s="177">
        <f>Q16</f>
        <v>0</v>
      </c>
      <c r="AY16" s="177">
        <f>ROUND(AC16,0)</f>
        <v>0</v>
      </c>
      <c r="BA16" s="178">
        <f>ROUND(AY16+AW16,0)</f>
        <v>0</v>
      </c>
    </row>
    <row r="17" spans="3:59" x14ac:dyDescent="0.3">
      <c r="D17" s="106" t="str">
        <f>"Fringe @ "&amp;TEXT(FRINGE,"0.00%")</f>
        <v>Fringe @ 27.27%</v>
      </c>
      <c r="H17" s="121"/>
      <c r="I17" s="121"/>
      <c r="J17" s="121"/>
      <c r="K17" s="121"/>
      <c r="L17" s="121"/>
      <c r="M17" s="121"/>
      <c r="N17" s="121"/>
      <c r="O17" s="119"/>
      <c r="P17" s="180"/>
      <c r="Q17" s="180">
        <f>ROUND(Q16*FRINGE,0)</f>
        <v>0</v>
      </c>
      <c r="T17" s="323"/>
      <c r="U17" s="121"/>
      <c r="V17" s="121"/>
      <c r="W17" s="121"/>
      <c r="X17" s="121"/>
      <c r="Y17" s="121"/>
      <c r="Z17" s="121"/>
      <c r="AA17" s="121"/>
      <c r="AD17" s="107">
        <f>ROUND(AC16*FRINGE,0)</f>
        <v>0</v>
      </c>
      <c r="AE17" s="322"/>
      <c r="AH17" s="150"/>
      <c r="AI17" s="150"/>
      <c r="AJ17" s="150"/>
      <c r="AK17" s="150"/>
      <c r="AL17" s="150"/>
      <c r="AM17" s="150"/>
      <c r="AN17" s="150"/>
      <c r="AO17" s="109"/>
      <c r="AP17" s="735"/>
      <c r="AQ17" s="735"/>
      <c r="AS17" s="506"/>
      <c r="AU17" s="507"/>
      <c r="BC17" s="177">
        <f>ROUND(Q17,0)</f>
        <v>0</v>
      </c>
      <c r="BE17" s="177">
        <f>ROUND(AD17,0)</f>
        <v>0</v>
      </c>
      <c r="BG17" s="178">
        <f>ROUND(BE17+BC17,0)</f>
        <v>0</v>
      </c>
    </row>
    <row r="18" spans="3:59" ht="3" customHeight="1" x14ac:dyDescent="0.3">
      <c r="H18" s="121"/>
      <c r="I18" s="121"/>
      <c r="J18" s="121"/>
      <c r="K18" s="121"/>
      <c r="L18" s="121"/>
      <c r="M18" s="121"/>
      <c r="N18" s="121"/>
      <c r="O18" s="119"/>
      <c r="P18" s="180"/>
      <c r="Q18" s="180"/>
      <c r="T18" s="323"/>
      <c r="U18" s="121"/>
      <c r="V18" s="121"/>
      <c r="W18" s="121"/>
      <c r="X18" s="121"/>
      <c r="Y18" s="121"/>
      <c r="Z18" s="121"/>
      <c r="AA18" s="121"/>
      <c r="AE18" s="322"/>
      <c r="AH18" s="150"/>
      <c r="AI18" s="150"/>
      <c r="AJ18" s="150"/>
      <c r="AK18" s="150"/>
      <c r="AL18" s="150"/>
      <c r="AM18" s="150"/>
      <c r="AN18" s="150"/>
      <c r="AO18" s="109"/>
      <c r="AS18" s="506"/>
      <c r="AU18" s="507"/>
    </row>
    <row r="19" spans="3:59" ht="14.25" customHeight="1" x14ac:dyDescent="0.3">
      <c r="C19" s="125" t="s">
        <v>798</v>
      </c>
      <c r="D19" s="21"/>
      <c r="F19" s="180">
        <f>(VLOOKUP(D19,Salaries!$A$3:$I$370,8,FALSE))</f>
        <v>0</v>
      </c>
      <c r="H19" s="385"/>
      <c r="I19" s="306"/>
      <c r="J19" s="307"/>
      <c r="K19" s="307"/>
      <c r="L19" s="385"/>
      <c r="M19" s="305"/>
      <c r="N19" s="307"/>
      <c r="O19" s="146"/>
      <c r="Q19" s="107">
        <f>ROUND(F19/12*H19*J19+F19/12*L19*N19, 0)</f>
        <v>0</v>
      </c>
      <c r="T19" s="323"/>
      <c r="U19" s="385"/>
      <c r="V19" s="306"/>
      <c r="W19" s="307"/>
      <c r="X19" s="307"/>
      <c r="Y19" s="385"/>
      <c r="Z19" s="305"/>
      <c r="AA19" s="307"/>
      <c r="AC19" s="724">
        <f>ROUND((F19/12*U19*W19)+(F19/12*Y19*AA19),0)</f>
        <v>0</v>
      </c>
      <c r="AD19" s="724"/>
      <c r="AE19" s="322"/>
      <c r="AH19" s="150">
        <f>IF(H19+D19&gt;1,IF(Q19+U19&gt;1,(D19+H19+Q19+U19)/2,(D19+H19)),Q19+U19)</f>
        <v>0</v>
      </c>
      <c r="AI19" s="150"/>
      <c r="AJ19" s="308">
        <f>W19+J19</f>
        <v>0</v>
      </c>
      <c r="AK19" s="150"/>
      <c r="AL19" s="150">
        <f>IF(L19+H19&gt;1,IF(U19+Y19&gt;1,(H19+L19+U19+Y19)/2,(H19+L19)),U19+Y19)</f>
        <v>0</v>
      </c>
      <c r="AM19" s="150"/>
      <c r="AN19" s="308">
        <f>AA19+N19</f>
        <v>0</v>
      </c>
      <c r="AO19" s="109"/>
      <c r="AP19" s="735">
        <f>ROUND(SUM(P19:Q20)+SUM(AC19:AD20),0)</f>
        <v>0</v>
      </c>
      <c r="AQ19" s="735"/>
      <c r="AS19" s="506"/>
      <c r="AU19" s="507"/>
      <c r="AW19" s="177">
        <f>Q19</f>
        <v>0</v>
      </c>
      <c r="AY19" s="177">
        <f>ROUND(AC19,0)</f>
        <v>0</v>
      </c>
      <c r="BA19" s="178">
        <f>ROUND(AY19+AW19,0)</f>
        <v>0</v>
      </c>
    </row>
    <row r="20" spans="3:59" x14ac:dyDescent="0.3">
      <c r="D20" s="106" t="str">
        <f>"Fringe @ "&amp;TEXT(FRINGE,"0.00%")</f>
        <v>Fringe @ 27.27%</v>
      </c>
      <c r="H20" s="121"/>
      <c r="I20" s="121"/>
      <c r="J20" s="121"/>
      <c r="K20" s="121"/>
      <c r="L20" s="121"/>
      <c r="M20" s="121"/>
      <c r="N20" s="121"/>
      <c r="O20" s="119"/>
      <c r="P20" s="180"/>
      <c r="Q20" s="180">
        <f>ROUND(Q19*FRINGE,0)</f>
        <v>0</v>
      </c>
      <c r="T20" s="323"/>
      <c r="U20" s="121"/>
      <c r="V20" s="121"/>
      <c r="W20" s="121"/>
      <c r="X20" s="121"/>
      <c r="Y20" s="121"/>
      <c r="Z20" s="121"/>
      <c r="AA20" s="121"/>
      <c r="AD20" s="107">
        <f>ROUND(AC19*FRINGE,0)</f>
        <v>0</v>
      </c>
      <c r="AE20" s="322"/>
      <c r="AH20" s="150"/>
      <c r="AI20" s="150"/>
      <c r="AJ20" s="150"/>
      <c r="AK20" s="150"/>
      <c r="AL20" s="150"/>
      <c r="AM20" s="150"/>
      <c r="AN20" s="150"/>
      <c r="AO20" s="109"/>
      <c r="AP20" s="735"/>
      <c r="AQ20" s="735"/>
      <c r="AS20" s="506"/>
      <c r="AU20" s="507"/>
      <c r="BC20" s="177">
        <f>ROUND(Q20,0)</f>
        <v>0</v>
      </c>
      <c r="BE20" s="177">
        <f>ROUND(AD20,0)</f>
        <v>0</v>
      </c>
      <c r="BG20" s="178">
        <f>ROUND(BE20+BC20,0)</f>
        <v>0</v>
      </c>
    </row>
    <row r="21" spans="3:59" ht="3" hidden="1" customHeight="1" x14ac:dyDescent="0.3">
      <c r="H21" s="121"/>
      <c r="I21" s="121"/>
      <c r="J21" s="121"/>
      <c r="K21" s="121"/>
      <c r="L21" s="121"/>
      <c r="M21" s="121"/>
      <c r="N21" s="121"/>
      <c r="O21" s="119"/>
      <c r="P21" s="180"/>
      <c r="Q21" s="180"/>
      <c r="T21" s="323"/>
      <c r="U21" s="121"/>
      <c r="V21" s="121"/>
      <c r="W21" s="121"/>
      <c r="X21" s="121"/>
      <c r="Y21" s="121"/>
      <c r="Z21" s="121"/>
      <c r="AA21" s="121"/>
      <c r="AE21" s="322"/>
      <c r="AH21" s="150"/>
      <c r="AI21" s="150"/>
      <c r="AJ21" s="150"/>
      <c r="AK21" s="150"/>
      <c r="AL21" s="150"/>
      <c r="AM21" s="150"/>
      <c r="AN21" s="150"/>
      <c r="AO21" s="109"/>
      <c r="AS21" s="506"/>
      <c r="AU21" s="507"/>
    </row>
    <row r="22" spans="3:59" ht="14.25" hidden="1" customHeight="1" x14ac:dyDescent="0.3">
      <c r="C22" s="125" t="s">
        <v>798</v>
      </c>
      <c r="D22" s="21"/>
      <c r="F22" s="180">
        <f>(VLOOKUP(D22,Salaries!$A$3:$I$370,8,FALSE))</f>
        <v>0</v>
      </c>
      <c r="H22" s="385"/>
      <c r="I22" s="306"/>
      <c r="J22" s="307"/>
      <c r="K22" s="307"/>
      <c r="L22" s="385"/>
      <c r="M22" s="305"/>
      <c r="N22" s="307"/>
      <c r="O22" s="146"/>
      <c r="P22" s="739">
        <f>ROUND(F22/12*H22*J22+F22/12*L22*N22, 0)</f>
        <v>0</v>
      </c>
      <c r="Q22" s="739"/>
      <c r="T22" s="323"/>
      <c r="U22" s="385"/>
      <c r="V22" s="306"/>
      <c r="W22" s="307"/>
      <c r="X22" s="307"/>
      <c r="Y22" s="385"/>
      <c r="Z22" s="305"/>
      <c r="AA22" s="307"/>
      <c r="AC22" s="724">
        <f>ROUND((F22/12*U22*W22)+(F22/12*Y22*AA22),0)</f>
        <v>0</v>
      </c>
      <c r="AD22" s="724"/>
      <c r="AE22" s="322"/>
      <c r="AH22" s="150">
        <f>IF(H22+D22&gt;1,IF(Q22+U22&gt;1,(D22+H22+Q22+U22)/2,(D22+H22)),Q22+U22)</f>
        <v>0</v>
      </c>
      <c r="AI22" s="150"/>
      <c r="AJ22" s="308">
        <f>W22+J22</f>
        <v>0</v>
      </c>
      <c r="AK22" s="150"/>
      <c r="AL22" s="150">
        <f>IF(L22+H22&gt;1,IF(U22+Y22&gt;1,(H22+L22+U22+Y22)/2,(H22+L22)),U22+Y22)</f>
        <v>0</v>
      </c>
      <c r="AM22" s="150"/>
      <c r="AN22" s="308">
        <f>AA22+N22</f>
        <v>0</v>
      </c>
      <c r="AO22" s="109"/>
      <c r="AP22" s="735">
        <f>ROUND(SUM(P22:Q23)+SUM(AC22:AD23),0)</f>
        <v>0</v>
      </c>
      <c r="AQ22" s="735"/>
      <c r="AS22" s="506"/>
      <c r="AU22" s="507"/>
      <c r="AW22" s="177">
        <f>P22</f>
        <v>0</v>
      </c>
      <c r="AY22" s="177">
        <f>ROUND(AC22,0)</f>
        <v>0</v>
      </c>
      <c r="BA22" s="178">
        <f>ROUND(AY22+AW22,0)</f>
        <v>0</v>
      </c>
    </row>
    <row r="23" spans="3:59" hidden="1" x14ac:dyDescent="0.3">
      <c r="D23" s="106" t="str">
        <f>"Fringe @ "&amp;TEXT(FRINGE,"0.00%")</f>
        <v>Fringe @ 27.27%</v>
      </c>
      <c r="H23" s="121"/>
      <c r="I23" s="121"/>
      <c r="J23" s="121"/>
      <c r="K23" s="121"/>
      <c r="L23" s="121"/>
      <c r="M23" s="121"/>
      <c r="N23" s="121"/>
      <c r="O23" s="119"/>
      <c r="P23" s="180"/>
      <c r="Q23" s="180">
        <f>ROUND(P22*FRINGE,0)</f>
        <v>0</v>
      </c>
      <c r="T23" s="323"/>
      <c r="U23" s="121"/>
      <c r="V23" s="121"/>
      <c r="W23" s="121"/>
      <c r="X23" s="121"/>
      <c r="Y23" s="121"/>
      <c r="Z23" s="121"/>
      <c r="AA23" s="121"/>
      <c r="AD23" s="107">
        <f>ROUND(AC22*FRINGE,0)</f>
        <v>0</v>
      </c>
      <c r="AE23" s="322"/>
      <c r="AH23" s="383"/>
      <c r="AI23" s="383"/>
      <c r="AJ23" s="383"/>
      <c r="AK23" s="383"/>
      <c r="AL23" s="383"/>
      <c r="AM23" s="383"/>
      <c r="AN23" s="383"/>
      <c r="AO23" s="109"/>
      <c r="AP23" s="735"/>
      <c r="AQ23" s="735"/>
      <c r="AS23" s="506"/>
      <c r="AU23" s="507"/>
      <c r="BC23" s="177">
        <f>ROUND(Q23,0)</f>
        <v>0</v>
      </c>
      <c r="BE23" s="177">
        <f>ROUND(AD23,0)</f>
        <v>0</v>
      </c>
      <c r="BG23" s="178">
        <f>ROUND(BE23+BC23,0)</f>
        <v>0</v>
      </c>
    </row>
    <row r="24" spans="3:59" ht="3" hidden="1" customHeight="1" x14ac:dyDescent="0.3">
      <c r="L24" s="121"/>
      <c r="M24" s="121"/>
      <c r="N24" s="121"/>
      <c r="O24" s="121"/>
      <c r="P24" s="180"/>
      <c r="Q24" s="180"/>
      <c r="T24" s="323"/>
      <c r="Y24" s="121"/>
      <c r="Z24" s="121"/>
      <c r="AA24" s="121"/>
      <c r="AE24" s="322"/>
      <c r="AH24" s="109"/>
      <c r="AI24" s="109"/>
      <c r="AJ24" s="109"/>
      <c r="AK24" s="109"/>
      <c r="AL24" s="150"/>
      <c r="AM24" s="150"/>
      <c r="AN24" s="150"/>
      <c r="AO24" s="109"/>
      <c r="AS24" s="506"/>
      <c r="AU24" s="507"/>
    </row>
    <row r="25" spans="3:59" ht="14.25" hidden="1" customHeight="1" x14ac:dyDescent="0.3">
      <c r="C25" s="125" t="s">
        <v>798</v>
      </c>
      <c r="D25" s="21"/>
      <c r="F25" s="180">
        <f>(VLOOKUP(D25,Salaries!$A$3:$I$370,8,FALSE))</f>
        <v>0</v>
      </c>
      <c r="H25" s="385"/>
      <c r="I25" s="306"/>
      <c r="J25" s="307"/>
      <c r="K25" s="307"/>
      <c r="L25" s="385"/>
      <c r="M25" s="305"/>
      <c r="N25" s="307"/>
      <c r="O25" s="146"/>
      <c r="P25" s="739">
        <f>ROUND(F25/12*H25*J25+F25/12*L25*N25, 0)</f>
        <v>0</v>
      </c>
      <c r="Q25" s="739"/>
      <c r="T25" s="323"/>
      <c r="U25" s="385"/>
      <c r="W25" s="307"/>
      <c r="Y25" s="385"/>
      <c r="Z25" s="121"/>
      <c r="AA25" s="307"/>
      <c r="AC25" s="724">
        <f>ROUND((VLOOKUP($D25,Salaries!$A$3:$I$370,9,FALSE)*U25*W25)+(VLOOKUP($D25,Salaries!$A$3:$I$370,9,FALSE)*Y25*AA25),0)</f>
        <v>0</v>
      </c>
      <c r="AD25" s="724"/>
      <c r="AE25" s="322"/>
      <c r="AH25" s="150">
        <f>IF(H25+D25&gt;1,IF(Q25+U25&gt;1,(D25+H25+Q25+U25)/2,(D25+H25)),Q25+U25)</f>
        <v>0</v>
      </c>
      <c r="AI25" s="150"/>
      <c r="AJ25" s="308">
        <f>W25+J25</f>
        <v>0</v>
      </c>
      <c r="AK25" s="150"/>
      <c r="AL25" s="150">
        <f>IF(L25+H25&gt;1,IF(U25+Y25&gt;1,(H25+L25+U25+Y25)/2,(H25+L25)),U25+Y25)</f>
        <v>0</v>
      </c>
      <c r="AM25" s="150"/>
      <c r="AN25" s="308">
        <f>AA25+N25</f>
        <v>0</v>
      </c>
      <c r="AO25" s="109"/>
      <c r="AP25" s="735">
        <f>ROUND(SUM(P25:Q26)+SUM(AC25:AD26),0)</f>
        <v>0</v>
      </c>
      <c r="AQ25" s="735"/>
      <c r="AS25" s="506"/>
      <c r="AU25" s="507"/>
    </row>
    <row r="26" spans="3:59" ht="15.75" hidden="1" customHeight="1" x14ac:dyDescent="0.3">
      <c r="D26" s="106" t="str">
        <f>"Fringe @ "&amp;TEXT(FRINGE,"0.00%")</f>
        <v>Fringe @ 27.27%</v>
      </c>
      <c r="H26" s="121"/>
      <c r="I26" s="121"/>
      <c r="J26" s="121"/>
      <c r="K26" s="121"/>
      <c r="L26" s="121"/>
      <c r="M26" s="121"/>
      <c r="N26" s="121"/>
      <c r="O26" s="119"/>
      <c r="P26" s="180"/>
      <c r="Q26" s="180">
        <f>ROUND(P25*FRINGE,0)</f>
        <v>0</v>
      </c>
      <c r="T26" s="323"/>
      <c r="Y26" s="121"/>
      <c r="Z26" s="121"/>
      <c r="AA26" s="121"/>
      <c r="AD26" s="107">
        <f>ROUND(AC25*FRINGE,0)</f>
        <v>0</v>
      </c>
      <c r="AE26" s="322"/>
      <c r="AH26" s="383"/>
      <c r="AI26" s="383"/>
      <c r="AJ26" s="383"/>
      <c r="AK26" s="383"/>
      <c r="AL26" s="383"/>
      <c r="AM26" s="383"/>
      <c r="AN26" s="383"/>
      <c r="AO26" s="109"/>
      <c r="AP26" s="735"/>
      <c r="AQ26" s="735"/>
      <c r="AS26" s="506"/>
      <c r="AU26" s="507"/>
    </row>
    <row r="27" spans="3:59" ht="3" hidden="1" customHeight="1" x14ac:dyDescent="0.3">
      <c r="L27" s="121"/>
      <c r="M27" s="121"/>
      <c r="N27" s="121"/>
      <c r="O27" s="121"/>
      <c r="P27" s="180"/>
      <c r="Q27" s="180"/>
      <c r="T27" s="323"/>
      <c r="Y27" s="121"/>
      <c r="Z27" s="121"/>
      <c r="AA27" s="121"/>
      <c r="AE27" s="322"/>
      <c r="AH27" s="109"/>
      <c r="AI27" s="109"/>
      <c r="AJ27" s="109"/>
      <c r="AK27" s="109"/>
      <c r="AL27" s="150"/>
      <c r="AM27" s="150"/>
      <c r="AN27" s="150"/>
      <c r="AO27" s="109"/>
      <c r="AS27" s="506"/>
      <c r="AU27" s="507"/>
    </row>
    <row r="28" spans="3:59" ht="14.25" hidden="1" customHeight="1" x14ac:dyDescent="0.3">
      <c r="D28" s="21"/>
      <c r="F28" s="180">
        <f>(VLOOKUP(D28,Salaries!$A$3:$I$370,8,FALSE))</f>
        <v>0</v>
      </c>
      <c r="H28" s="385"/>
      <c r="I28" s="306"/>
      <c r="J28" s="307"/>
      <c r="K28" s="307"/>
      <c r="L28" s="385"/>
      <c r="M28" s="305"/>
      <c r="N28" s="307"/>
      <c r="O28" s="146"/>
      <c r="P28" s="739">
        <f>ROUND((VLOOKUP($D28,Salaries!$A$3:$I$370,9,FALSE)*H28*J28)+(VLOOKUP($D28,Salaries!$A$3:$I$370,9,FALSE)*L28*N28),0)</f>
        <v>0</v>
      </c>
      <c r="Q28" s="739"/>
      <c r="T28" s="323"/>
      <c r="U28" s="385"/>
      <c r="W28" s="307"/>
      <c r="Y28" s="385"/>
      <c r="Z28" s="121"/>
      <c r="AA28" s="307"/>
      <c r="AC28" s="724">
        <f>ROUND((VLOOKUP($D28,Salaries!$A$3:$I$370,9,FALSE)*U28*W28)+(VLOOKUP($D28,Salaries!$A$3:$I$370,9,FALSE)*Y28*AA28),0)</f>
        <v>0</v>
      </c>
      <c r="AD28" s="724"/>
      <c r="AE28" s="322"/>
      <c r="AH28" s="150">
        <f>IF(H28+D28&gt;1,IF(Q28+U28&gt;1,(D28+H28+Q28+U28)/2,(D28+H28)),Q28+U28)</f>
        <v>0</v>
      </c>
      <c r="AI28" s="150"/>
      <c r="AJ28" s="308">
        <f>W28+J28</f>
        <v>0</v>
      </c>
      <c r="AK28" s="150"/>
      <c r="AL28" s="150">
        <f>IF(L28+H28&gt;1,IF(U28+Y28&gt;1,(H28+L28+U28+Y28)/2,(H28+L28)),U28+Y28)</f>
        <v>0</v>
      </c>
      <c r="AM28" s="150"/>
      <c r="AN28" s="308">
        <f>AA28+N28</f>
        <v>0</v>
      </c>
      <c r="AO28" s="109"/>
      <c r="AP28" s="735">
        <f>ROUND(SUM(P28:Q29)+SUM(AC28:AD29),0)</f>
        <v>0</v>
      </c>
      <c r="AQ28" s="735"/>
      <c r="AS28" s="506"/>
      <c r="AU28" s="507"/>
    </row>
    <row r="29" spans="3:59" ht="15" hidden="1" customHeight="1" x14ac:dyDescent="0.3">
      <c r="D29" s="106" t="str">
        <f>"Fringe @ "&amp;TEXT(FRINGE,"0.00%")</f>
        <v>Fringe @ 27.27%</v>
      </c>
      <c r="H29" s="121"/>
      <c r="I29" s="121"/>
      <c r="J29" s="121"/>
      <c r="K29" s="121"/>
      <c r="L29" s="121"/>
      <c r="M29" s="121"/>
      <c r="N29" s="121"/>
      <c r="O29" s="119"/>
      <c r="P29" s="180"/>
      <c r="Q29" s="180">
        <f>ROUND(P28*FRINGE,0)</f>
        <v>0</v>
      </c>
      <c r="T29" s="323"/>
      <c r="Y29" s="121"/>
      <c r="Z29" s="121"/>
      <c r="AA29" s="121"/>
      <c r="AD29" s="107">
        <f>ROUND(AC28*FRINGE,0)</f>
        <v>0</v>
      </c>
      <c r="AE29" s="322"/>
      <c r="AH29" s="383"/>
      <c r="AI29" s="383"/>
      <c r="AJ29" s="383"/>
      <c r="AK29" s="383"/>
      <c r="AL29" s="383"/>
      <c r="AM29" s="383"/>
      <c r="AN29" s="383"/>
      <c r="AO29" s="109"/>
      <c r="AP29" s="735"/>
      <c r="AQ29" s="735"/>
      <c r="AS29" s="506"/>
      <c r="AU29" s="507"/>
    </row>
    <row r="30" spans="3:59" ht="3" hidden="1" customHeight="1" x14ac:dyDescent="0.3">
      <c r="L30" s="121"/>
      <c r="M30" s="121"/>
      <c r="N30" s="121"/>
      <c r="O30" s="121"/>
      <c r="P30" s="180"/>
      <c r="Q30" s="180"/>
      <c r="T30" s="323"/>
      <c r="Y30" s="121"/>
      <c r="Z30" s="121"/>
      <c r="AA30" s="121"/>
      <c r="AE30" s="322"/>
      <c r="AH30" s="109"/>
      <c r="AI30" s="109"/>
      <c r="AJ30" s="109"/>
      <c r="AK30" s="109"/>
      <c r="AL30" s="150"/>
      <c r="AM30" s="150"/>
      <c r="AN30" s="150"/>
      <c r="AO30" s="109"/>
      <c r="AS30" s="506"/>
      <c r="AU30" s="507"/>
    </row>
    <row r="31" spans="3:59" ht="14.25" hidden="1" customHeight="1" x14ac:dyDescent="0.3">
      <c r="D31" s="21"/>
      <c r="F31" s="180">
        <f>(VLOOKUP(D31,Salaries!$A$3:$I$370,8,FALSE))</f>
        <v>0</v>
      </c>
      <c r="H31" s="385"/>
      <c r="I31" s="306"/>
      <c r="J31" s="307"/>
      <c r="K31" s="307"/>
      <c r="L31" s="385"/>
      <c r="M31" s="305"/>
      <c r="N31" s="307"/>
      <c r="O31" s="146"/>
      <c r="P31" s="739">
        <f>ROUND((VLOOKUP($D31,Salaries!$A$3:$I$370,9,FALSE)*H31*J31)+(VLOOKUP($D31,Salaries!$A$3:$I$370,9,FALSE)*L31*N31),0)</f>
        <v>0</v>
      </c>
      <c r="Q31" s="739"/>
      <c r="T31" s="323"/>
      <c r="U31" s="385"/>
      <c r="W31" s="307"/>
      <c r="Y31" s="385"/>
      <c r="Z31" s="121"/>
      <c r="AA31" s="307"/>
      <c r="AC31" s="724">
        <f>ROUND((VLOOKUP($D31,Salaries!$A$3:$I$370,9,FALSE)*U31*W31)+(VLOOKUP($D31,Salaries!$A$3:$I$370,9,FALSE)*Y31*AA31),0)</f>
        <v>0</v>
      </c>
      <c r="AD31" s="724"/>
      <c r="AE31" s="322"/>
      <c r="AH31" s="150">
        <f>IF(H31+D31&gt;1,IF(Q31+U31&gt;1,(D31+H31+Q31+U31)/2,(D31+H31)),Q31+U31)</f>
        <v>0</v>
      </c>
      <c r="AI31" s="150"/>
      <c r="AJ31" s="308">
        <f>W31+J31</f>
        <v>0</v>
      </c>
      <c r="AK31" s="150"/>
      <c r="AL31" s="150">
        <f>IF(L31+H31&gt;1,IF(U31+Y31&gt;1,(H31+L31+U31+Y31)/2,(H31+L31)),U31+Y31)</f>
        <v>0</v>
      </c>
      <c r="AM31" s="150"/>
      <c r="AN31" s="308">
        <f>AA31+N31</f>
        <v>0</v>
      </c>
      <c r="AO31" s="109"/>
      <c r="AP31" s="735">
        <f>ROUND(SUM(P31:Q32)+SUM(AC31:AD32),0)</f>
        <v>0</v>
      </c>
      <c r="AQ31" s="735"/>
      <c r="AS31" s="506"/>
      <c r="AU31" s="507"/>
    </row>
    <row r="32" spans="3:59" ht="15" hidden="1" customHeight="1" x14ac:dyDescent="0.3">
      <c r="D32" s="106" t="str">
        <f>"Fringe @ "&amp;TEXT(FRINGE,"0.00%")</f>
        <v>Fringe @ 27.27%</v>
      </c>
      <c r="H32" s="121"/>
      <c r="I32" s="121"/>
      <c r="J32" s="121"/>
      <c r="K32" s="121"/>
      <c r="L32" s="121"/>
      <c r="M32" s="121"/>
      <c r="N32" s="121"/>
      <c r="O32" s="119"/>
      <c r="P32" s="180"/>
      <c r="Q32" s="180">
        <f>ROUND(P31*FRINGE,0)</f>
        <v>0</v>
      </c>
      <c r="T32" s="323"/>
      <c r="Y32" s="121"/>
      <c r="Z32" s="121"/>
      <c r="AA32" s="121"/>
      <c r="AD32" s="107">
        <f>ROUND(AC31*FRINGE,0)</f>
        <v>0</v>
      </c>
      <c r="AE32" s="322"/>
      <c r="AH32" s="383"/>
      <c r="AI32" s="383"/>
      <c r="AJ32" s="383"/>
      <c r="AK32" s="383"/>
      <c r="AL32" s="383"/>
      <c r="AM32" s="383"/>
      <c r="AN32" s="383"/>
      <c r="AO32" s="109"/>
      <c r="AP32" s="735"/>
      <c r="AQ32" s="735"/>
      <c r="AS32" s="506"/>
      <c r="AU32" s="507"/>
    </row>
    <row r="33" spans="1:59" ht="3" hidden="1" customHeight="1" x14ac:dyDescent="0.3">
      <c r="L33" s="121"/>
      <c r="M33" s="121"/>
      <c r="N33" s="121"/>
      <c r="O33" s="121"/>
      <c r="P33" s="180"/>
      <c r="Q33" s="180"/>
      <c r="T33" s="323"/>
      <c r="Y33" s="121"/>
      <c r="Z33" s="121"/>
      <c r="AA33" s="121"/>
      <c r="AE33" s="322"/>
      <c r="AH33" s="109"/>
      <c r="AI33" s="109"/>
      <c r="AJ33" s="109"/>
      <c r="AK33" s="109"/>
      <c r="AL33" s="150"/>
      <c r="AM33" s="150"/>
      <c r="AN33" s="150"/>
      <c r="AO33" s="109"/>
      <c r="AS33" s="506"/>
      <c r="AU33" s="507"/>
    </row>
    <row r="34" spans="1:59" ht="14.25" hidden="1" customHeight="1" x14ac:dyDescent="0.3">
      <c r="D34" s="21"/>
      <c r="F34" s="180">
        <f>(VLOOKUP(D34,Salaries!$A$3:$I$370,8,FALSE))</f>
        <v>0</v>
      </c>
      <c r="H34" s="385"/>
      <c r="I34" s="306"/>
      <c r="J34" s="307"/>
      <c r="K34" s="307"/>
      <c r="L34" s="385"/>
      <c r="M34" s="305"/>
      <c r="N34" s="307"/>
      <c r="O34" s="146"/>
      <c r="P34" s="739">
        <f>ROUND((VLOOKUP($D34,Salaries!$A$3:$I$370,9,FALSE)*H34*J34)+(VLOOKUP($D34,Salaries!$A$3:$I$370,9,FALSE)*L34*N34),0)</f>
        <v>0</v>
      </c>
      <c r="Q34" s="739"/>
      <c r="T34" s="323"/>
      <c r="U34" s="385"/>
      <c r="V34" s="306"/>
      <c r="W34" s="307"/>
      <c r="X34" s="307"/>
      <c r="Y34" s="385"/>
      <c r="Z34" s="305"/>
      <c r="AA34" s="307"/>
      <c r="AC34" s="724">
        <f>ROUND((VLOOKUP($D34,Salaries!$A$3:$I$370,9,FALSE)*U34*W34)+(VLOOKUP($D34,Salaries!$A$3:$I$370,9,FALSE)*Y34*AA34),0)</f>
        <v>0</v>
      </c>
      <c r="AD34" s="724"/>
      <c r="AE34" s="322"/>
      <c r="AH34" s="150">
        <f>U34+H34</f>
        <v>0</v>
      </c>
      <c r="AI34" s="150"/>
      <c r="AJ34" s="308">
        <f>W34+J34</f>
        <v>0</v>
      </c>
      <c r="AK34" s="150"/>
      <c r="AL34" s="150">
        <f>Y34+L34</f>
        <v>0</v>
      </c>
      <c r="AM34" s="150"/>
      <c r="AN34" s="308">
        <f>AA34+N34</f>
        <v>0</v>
      </c>
      <c r="AO34" s="109"/>
      <c r="AP34" s="735">
        <f>ROUND(SUM(P34:Q35)+SUM(AC34:AD35),0)</f>
        <v>0</v>
      </c>
      <c r="AQ34" s="735"/>
      <c r="AS34" s="506"/>
      <c r="AU34" s="507"/>
      <c r="AW34" s="177">
        <f>P34</f>
        <v>0</v>
      </c>
      <c r="AY34" s="177">
        <f>ROUND(AC34,0)</f>
        <v>0</v>
      </c>
      <c r="BA34" s="178">
        <f>ROUND(AY34+AW34,0)</f>
        <v>0</v>
      </c>
    </row>
    <row r="35" spans="1:59" hidden="1" x14ac:dyDescent="0.3">
      <c r="D35" s="106" t="str">
        <f>"Fringe @ "&amp;TEXT(FRINGE,"0.00%")</f>
        <v>Fringe @ 27.27%</v>
      </c>
      <c r="H35" s="121"/>
      <c r="I35" s="121"/>
      <c r="J35" s="121"/>
      <c r="K35" s="121"/>
      <c r="L35" s="121"/>
      <c r="M35" s="121"/>
      <c r="N35" s="121"/>
      <c r="O35" s="119"/>
      <c r="P35" s="180"/>
      <c r="Q35" s="180">
        <f>ROUND(P34*FRINGE,0)</f>
        <v>0</v>
      </c>
      <c r="T35" s="323"/>
      <c r="U35" s="121"/>
      <c r="V35" s="121"/>
      <c r="W35" s="121"/>
      <c r="X35" s="121"/>
      <c r="Y35" s="121"/>
      <c r="Z35" s="121"/>
      <c r="AA35" s="121"/>
      <c r="AD35" s="107">
        <f>ROUND(AC34*FRINGE,0)</f>
        <v>0</v>
      </c>
      <c r="AE35" s="322"/>
      <c r="AH35" s="150"/>
      <c r="AI35" s="150"/>
      <c r="AJ35" s="150"/>
      <c r="AK35" s="150"/>
      <c r="AL35" s="150"/>
      <c r="AM35" s="150"/>
      <c r="AN35" s="150"/>
      <c r="AO35" s="109"/>
      <c r="AP35" s="735"/>
      <c r="AQ35" s="735"/>
      <c r="AS35" s="506"/>
      <c r="AU35" s="507"/>
      <c r="BC35" s="177">
        <f>ROUND(Q35,0)</f>
        <v>0</v>
      </c>
      <c r="BE35" s="177">
        <f>ROUND(AD35,0)</f>
        <v>0</v>
      </c>
      <c r="BG35" s="178">
        <f>ROUND(BE35+BC35,0)</f>
        <v>0</v>
      </c>
    </row>
    <row r="36" spans="1:59" ht="3" hidden="1" customHeight="1" x14ac:dyDescent="0.3">
      <c r="D36" s="115"/>
      <c r="E36" s="115"/>
      <c r="P36" s="180"/>
      <c r="Q36" s="180"/>
      <c r="T36" s="323"/>
      <c r="AE36" s="322"/>
      <c r="AH36" s="109"/>
      <c r="AI36" s="109"/>
      <c r="AJ36" s="109"/>
      <c r="AK36" s="109"/>
      <c r="AL36" s="109"/>
      <c r="AM36" s="109"/>
      <c r="AN36" s="109"/>
      <c r="AO36" s="109"/>
      <c r="AS36" s="506"/>
      <c r="AU36" s="507"/>
    </row>
    <row r="37" spans="1:59" ht="14.25" hidden="1" customHeight="1" x14ac:dyDescent="0.3">
      <c r="D37" s="21"/>
      <c r="F37" s="180">
        <f>(VLOOKUP(D37,Salaries!$A$3:$I$370,8,FALSE))</f>
        <v>0</v>
      </c>
      <c r="H37" s="385"/>
      <c r="I37" s="306"/>
      <c r="J37" s="307"/>
      <c r="K37" s="307"/>
      <c r="L37" s="385"/>
      <c r="M37" s="305"/>
      <c r="N37" s="307"/>
      <c r="O37" s="146"/>
      <c r="P37" s="739">
        <f>ROUND((VLOOKUP($D37,Salaries!$A$3:$I$370,9,FALSE)*H37*J37)+(VLOOKUP($D37,Salaries!$A$3:$I$370,9,FALSE)*L37*N37),0)</f>
        <v>0</v>
      </c>
      <c r="Q37" s="739"/>
      <c r="T37" s="323"/>
      <c r="U37" s="385"/>
      <c r="V37" s="306"/>
      <c r="W37" s="307"/>
      <c r="X37" s="307"/>
      <c r="Y37" s="385"/>
      <c r="Z37" s="305"/>
      <c r="AA37" s="307"/>
      <c r="AC37" s="724">
        <f>ROUND((VLOOKUP($D37,Salaries!$A$3:$I$370,9,FALSE)*U37*W37)+(VLOOKUP($D37,Salaries!$A$3:$I$370,9,FALSE)*Y37*AA37),0)</f>
        <v>0</v>
      </c>
      <c r="AD37" s="724"/>
      <c r="AE37" s="322"/>
      <c r="AH37" s="150">
        <f>U37+H37</f>
        <v>0</v>
      </c>
      <c r="AI37" s="150"/>
      <c r="AJ37" s="308">
        <f>W37+J37</f>
        <v>0</v>
      </c>
      <c r="AK37" s="150"/>
      <c r="AL37" s="150">
        <f>Y37+L37</f>
        <v>0</v>
      </c>
      <c r="AM37" s="150"/>
      <c r="AN37" s="308">
        <f>AA37+N37</f>
        <v>0</v>
      </c>
      <c r="AO37" s="109"/>
      <c r="AP37" s="735">
        <f>ROUND(SUM(P37:Q38)+SUM(AC37:AD38),0)</f>
        <v>0</v>
      </c>
      <c r="AQ37" s="735"/>
      <c r="AS37" s="506"/>
      <c r="AU37" s="507"/>
      <c r="AW37" s="177">
        <f>P37</f>
        <v>0</v>
      </c>
      <c r="AY37" s="177">
        <f>ROUND(AC37,0)</f>
        <v>0</v>
      </c>
      <c r="BA37" s="178">
        <f>ROUND(AY37+AW37,0)</f>
        <v>0</v>
      </c>
    </row>
    <row r="38" spans="1:59" hidden="1" x14ac:dyDescent="0.3">
      <c r="D38" s="106" t="str">
        <f>"Fringe @ "&amp;TEXT(FRINGE,"0.00%")</f>
        <v>Fringe @ 27.27%</v>
      </c>
      <c r="H38" s="121"/>
      <c r="I38" s="121"/>
      <c r="J38" s="121"/>
      <c r="K38" s="121"/>
      <c r="L38" s="121"/>
      <c r="M38" s="121"/>
      <c r="N38" s="121"/>
      <c r="O38" s="119"/>
      <c r="P38" s="180"/>
      <c r="Q38" s="180">
        <f>ROUND(P37*FRINGE,0)</f>
        <v>0</v>
      </c>
      <c r="T38" s="323"/>
      <c r="U38" s="121"/>
      <c r="V38" s="121"/>
      <c r="W38" s="121"/>
      <c r="X38" s="121"/>
      <c r="Y38" s="121"/>
      <c r="Z38" s="121"/>
      <c r="AA38" s="121"/>
      <c r="AD38" s="107">
        <f>ROUND(AC37*FRINGE,0)</f>
        <v>0</v>
      </c>
      <c r="AE38" s="322"/>
      <c r="AH38" s="150"/>
      <c r="AI38" s="150"/>
      <c r="AJ38" s="150"/>
      <c r="AK38" s="150"/>
      <c r="AL38" s="150"/>
      <c r="AM38" s="150"/>
      <c r="AN38" s="150"/>
      <c r="AO38" s="109"/>
      <c r="AP38" s="735"/>
      <c r="AQ38" s="735"/>
      <c r="AS38" s="506"/>
      <c r="AU38" s="507"/>
      <c r="BC38" s="177">
        <f>ROUND(Q38,0)</f>
        <v>0</v>
      </c>
      <c r="BE38" s="177">
        <f>ROUND(AD38,0)</f>
        <v>0</v>
      </c>
      <c r="BG38" s="178">
        <f>ROUND(BE38+BC38,0)</f>
        <v>0</v>
      </c>
    </row>
    <row r="39" spans="1:59" ht="3" hidden="1" customHeight="1" x14ac:dyDescent="0.3">
      <c r="D39" s="115"/>
      <c r="E39" s="115"/>
      <c r="L39" s="123"/>
      <c r="M39" s="123"/>
      <c r="N39" s="123"/>
      <c r="O39" s="123"/>
      <c r="P39" s="180"/>
      <c r="Q39" s="180"/>
      <c r="T39" s="323"/>
      <c r="Y39" s="123"/>
      <c r="Z39" s="123"/>
      <c r="AA39" s="123"/>
      <c r="AE39" s="322"/>
      <c r="AH39" s="109"/>
      <c r="AI39" s="109"/>
      <c r="AJ39" s="109"/>
      <c r="AK39" s="109"/>
      <c r="AL39" s="154"/>
      <c r="AM39" s="154"/>
      <c r="AN39" s="154"/>
      <c r="AO39" s="109"/>
      <c r="AS39" s="506"/>
      <c r="AU39" s="507"/>
    </row>
    <row r="40" spans="1:59" ht="14.25" hidden="1" customHeight="1" x14ac:dyDescent="0.3">
      <c r="D40" s="21"/>
      <c r="F40" s="180">
        <f>(VLOOKUP(D40,Salaries!$A$3:$I$370,8,FALSE))</f>
        <v>0</v>
      </c>
      <c r="H40" s="385"/>
      <c r="I40" s="306"/>
      <c r="J40" s="307"/>
      <c r="K40" s="307"/>
      <c r="L40" s="385"/>
      <c r="M40" s="305"/>
      <c r="N40" s="307"/>
      <c r="O40" s="146"/>
      <c r="P40" s="739">
        <f>ROUND((VLOOKUP($D40,Salaries!$A$3:$I$370,9,FALSE)*H40*J40)+(VLOOKUP($D40,Salaries!$A$3:$I$370,9,FALSE)*L40*N40),0)</f>
        <v>0</v>
      </c>
      <c r="Q40" s="739"/>
      <c r="T40" s="323"/>
      <c r="U40" s="385"/>
      <c r="V40" s="306"/>
      <c r="W40" s="307"/>
      <c r="X40" s="307"/>
      <c r="Y40" s="385"/>
      <c r="Z40" s="305"/>
      <c r="AA40" s="307"/>
      <c r="AC40" s="724">
        <f>ROUND((VLOOKUP($D40,Salaries!$A$3:$I$370,9,FALSE)*U40*W40)+(VLOOKUP($D40,Salaries!$A$3:$I$370,9,FALSE)*Y40*AA40),0)</f>
        <v>0</v>
      </c>
      <c r="AD40" s="724"/>
      <c r="AE40" s="322"/>
      <c r="AH40" s="150">
        <f>U40+H40</f>
        <v>0</v>
      </c>
      <c r="AI40" s="150"/>
      <c r="AJ40" s="308">
        <f>W40+J40</f>
        <v>0</v>
      </c>
      <c r="AK40" s="150"/>
      <c r="AL40" s="150">
        <f>Y40+L40</f>
        <v>0</v>
      </c>
      <c r="AM40" s="150"/>
      <c r="AN40" s="308">
        <f>AA40+N40</f>
        <v>0</v>
      </c>
      <c r="AO40" s="109"/>
      <c r="AP40" s="735">
        <f>ROUND(SUM(P40:Q41)+SUM(AC40:AD41),0)</f>
        <v>0</v>
      </c>
      <c r="AQ40" s="735"/>
      <c r="AS40" s="506"/>
      <c r="AU40" s="507"/>
      <c r="AW40" s="177">
        <f>P40</f>
        <v>0</v>
      </c>
      <c r="AY40" s="177">
        <f>ROUND(AC40,0)</f>
        <v>0</v>
      </c>
      <c r="BA40" s="178">
        <f>ROUND(AY40+AW40,0)</f>
        <v>0</v>
      </c>
    </row>
    <row r="41" spans="1:59" hidden="1" x14ac:dyDescent="0.3">
      <c r="D41" s="106" t="str">
        <f>"Fringe @ "&amp;TEXT(FRINGE,"0.00%")</f>
        <v>Fringe @ 27.27%</v>
      </c>
      <c r="H41" s="121"/>
      <c r="I41" s="121"/>
      <c r="J41" s="121"/>
      <c r="K41" s="121"/>
      <c r="L41" s="121"/>
      <c r="M41" s="121"/>
      <c r="N41" s="121"/>
      <c r="O41" s="119"/>
      <c r="P41" s="180"/>
      <c r="Q41" s="180">
        <f>ROUND(P40*FRINGE,0)</f>
        <v>0</v>
      </c>
      <c r="T41" s="323"/>
      <c r="U41" s="121"/>
      <c r="V41" s="121"/>
      <c r="W41" s="121"/>
      <c r="X41" s="121"/>
      <c r="Y41" s="121"/>
      <c r="Z41" s="121"/>
      <c r="AA41" s="121"/>
      <c r="AD41" s="107">
        <f>ROUND(AC40*FRINGE,0)</f>
        <v>0</v>
      </c>
      <c r="AE41" s="322"/>
      <c r="AH41" s="150"/>
      <c r="AI41" s="150"/>
      <c r="AJ41" s="150"/>
      <c r="AK41" s="150"/>
      <c r="AL41" s="150"/>
      <c r="AM41" s="150"/>
      <c r="AN41" s="150"/>
      <c r="AO41" s="109"/>
      <c r="AP41" s="735"/>
      <c r="AQ41" s="735"/>
      <c r="AS41" s="506"/>
      <c r="AU41" s="507"/>
      <c r="BC41" s="177">
        <f>ROUND(Q41,0)</f>
        <v>0</v>
      </c>
      <c r="BE41" s="177">
        <f>ROUND(AD41,0)</f>
        <v>0</v>
      </c>
      <c r="BG41" s="178">
        <f>ROUND(BE41+BC41,0)</f>
        <v>0</v>
      </c>
    </row>
    <row r="42" spans="1:59" ht="3" hidden="1" customHeight="1" x14ac:dyDescent="0.3">
      <c r="B42" s="134"/>
      <c r="C42" s="134"/>
      <c r="D42" s="134"/>
      <c r="E42" s="134"/>
      <c r="F42" s="296"/>
      <c r="G42" s="134"/>
      <c r="H42" s="134"/>
      <c r="I42" s="134"/>
      <c r="J42" s="134"/>
      <c r="K42" s="134"/>
      <c r="L42" s="134"/>
      <c r="M42" s="134"/>
      <c r="N42" s="134"/>
      <c r="O42" s="134"/>
      <c r="P42" s="736"/>
      <c r="Q42" s="736"/>
      <c r="R42" s="134"/>
      <c r="S42" s="134"/>
      <c r="T42" s="325"/>
      <c r="U42" s="134"/>
      <c r="V42" s="134"/>
      <c r="W42" s="134"/>
      <c r="X42" s="134"/>
      <c r="Y42" s="134"/>
      <c r="Z42" s="134"/>
      <c r="AA42" s="134"/>
      <c r="AB42" s="134"/>
      <c r="AC42" s="736"/>
      <c r="AD42" s="736"/>
      <c r="AE42" s="326"/>
      <c r="AF42" s="134"/>
      <c r="AG42" s="134"/>
      <c r="AH42" s="134"/>
      <c r="AI42" s="134"/>
      <c r="AJ42" s="134"/>
      <c r="AK42" s="134"/>
      <c r="AL42" s="134"/>
      <c r="AM42" s="134"/>
      <c r="AN42" s="134"/>
      <c r="AO42" s="134"/>
      <c r="AP42" s="736"/>
      <c r="AQ42" s="736"/>
      <c r="AS42" s="506"/>
      <c r="AU42" s="507"/>
    </row>
    <row r="43" spans="1:59" x14ac:dyDescent="0.3">
      <c r="B43" s="158" t="str">
        <f>CONCATENATE("TOTAL ",B12)</f>
        <v>TOTAL SENIOR PERSONNEL</v>
      </c>
      <c r="C43" s="159"/>
      <c r="D43" s="160"/>
      <c r="E43" s="160"/>
      <c r="F43" s="288"/>
      <c r="G43" s="309"/>
      <c r="H43" s="159"/>
      <c r="I43" s="159"/>
      <c r="J43" s="159"/>
      <c r="K43" s="159"/>
      <c r="L43" s="159"/>
      <c r="M43" s="159"/>
      <c r="N43" s="159"/>
      <c r="O43" s="159"/>
      <c r="P43" s="761">
        <f>ROUND(SUM(P13:Q42),0)</f>
        <v>0</v>
      </c>
      <c r="Q43" s="761"/>
      <c r="R43" s="159"/>
      <c r="S43" s="159"/>
      <c r="T43" s="327"/>
      <c r="U43" s="159"/>
      <c r="V43" s="159"/>
      <c r="W43" s="159"/>
      <c r="X43" s="159"/>
      <c r="Y43" s="159"/>
      <c r="Z43" s="159"/>
      <c r="AA43" s="159"/>
      <c r="AB43" s="159"/>
      <c r="AC43" s="159"/>
      <c r="AD43" s="309">
        <f>ROUND(SUM(AC13:AD42),0)</f>
        <v>0</v>
      </c>
      <c r="AE43" s="328"/>
      <c r="AF43" s="159"/>
      <c r="AG43" s="159"/>
      <c r="AH43" s="386">
        <f>SUM(AH13:AH42)</f>
        <v>0</v>
      </c>
      <c r="AI43" s="387"/>
      <c r="AJ43" s="388">
        <f>SUM(AJ12:AJ42)</f>
        <v>0</v>
      </c>
      <c r="AK43" s="387"/>
      <c r="AL43" s="386">
        <f>SUM(AL13:AL42)</f>
        <v>0</v>
      </c>
      <c r="AM43" s="387"/>
      <c r="AN43" s="388">
        <f>SUM(AN12:AN42)</f>
        <v>0</v>
      </c>
      <c r="AO43" s="159"/>
      <c r="AP43" s="159"/>
      <c r="AQ43" s="309">
        <f>ROUND(SUM(AP13:AQ42),0)</f>
        <v>0</v>
      </c>
      <c r="AS43" s="506"/>
      <c r="AU43" s="507"/>
    </row>
    <row r="44" spans="1:59" ht="3" customHeight="1" x14ac:dyDescent="0.3">
      <c r="T44" s="323"/>
      <c r="AE44" s="322"/>
      <c r="AS44" s="506"/>
      <c r="AU44" s="507"/>
    </row>
    <row r="45" spans="1:59" x14ac:dyDescent="0.3">
      <c r="A45" s="109" t="s">
        <v>182</v>
      </c>
      <c r="B45" s="127" t="s">
        <v>799</v>
      </c>
      <c r="T45" s="323"/>
      <c r="AE45" s="322"/>
      <c r="AS45" s="506"/>
      <c r="AU45" s="507"/>
    </row>
    <row r="46" spans="1:59" ht="14.25" hidden="1" customHeight="1" x14ac:dyDescent="0.3">
      <c r="B46" s="113"/>
      <c r="C46" s="125">
        <v>1</v>
      </c>
      <c r="D46" s="21" t="s">
        <v>649</v>
      </c>
      <c r="F46" s="180">
        <f>(VLOOKUP(D46,Salaries!$A$3:$I$370,8,FALSE))</f>
        <v>62636.42798</v>
      </c>
      <c r="H46" s="385"/>
      <c r="I46" s="306"/>
      <c r="J46" s="307"/>
      <c r="K46" s="307"/>
      <c r="L46" s="385"/>
      <c r="M46" s="305"/>
      <c r="N46" s="307"/>
      <c r="O46" s="146"/>
      <c r="P46" s="739">
        <f>ROUND(F46/12*H46*J46+F46/12*L46*N46, 0)*C46</f>
        <v>0</v>
      </c>
      <c r="Q46" s="739"/>
      <c r="T46" s="323"/>
      <c r="U46" s="460"/>
      <c r="V46" s="121"/>
      <c r="W46" s="307"/>
      <c r="X46" s="121"/>
      <c r="Y46" s="460"/>
      <c r="Z46" s="121"/>
      <c r="AA46" s="307"/>
      <c r="AC46" s="724">
        <f>ROUND((F46/12*U46*W46)+(F46/12*Y46*AA46),0)</f>
        <v>0</v>
      </c>
      <c r="AD46" s="724"/>
      <c r="AE46" s="322"/>
      <c r="AH46" s="150">
        <f>U46+H46</f>
        <v>0</v>
      </c>
      <c r="AI46" s="150"/>
      <c r="AJ46" s="308">
        <f>W46+J46</f>
        <v>0</v>
      </c>
      <c r="AK46" s="150"/>
      <c r="AL46" s="150">
        <f>Y46+L46</f>
        <v>0</v>
      </c>
      <c r="AM46" s="150"/>
      <c r="AN46" s="308">
        <f>AA46+N46</f>
        <v>0</v>
      </c>
      <c r="AO46" s="109"/>
      <c r="AP46" s="735">
        <f>ROUND(SUM(P46:Q47)+SUM(AC46:AD47),0)</f>
        <v>0</v>
      </c>
      <c r="AQ46" s="735"/>
      <c r="AS46" s="506"/>
      <c r="AU46" s="507"/>
      <c r="AW46" s="177">
        <f>P46</f>
        <v>0</v>
      </c>
      <c r="AY46" s="177">
        <f>ROUND(AC46,0)</f>
        <v>0</v>
      </c>
      <c r="BA46" s="178">
        <f>ROUND(AY46+AW46,0)</f>
        <v>0</v>
      </c>
    </row>
    <row r="47" spans="1:59" hidden="1" x14ac:dyDescent="0.3">
      <c r="B47" s="119"/>
      <c r="C47" s="125"/>
      <c r="D47" s="106" t="str">
        <f>"Fringe @ "&amp;TEXT(FRINGE,"0.00%")</f>
        <v>Fringe @ 27.27%</v>
      </c>
      <c r="H47" s="121"/>
      <c r="I47" s="121"/>
      <c r="J47" s="121"/>
      <c r="K47" s="121"/>
      <c r="L47" s="121"/>
      <c r="M47" s="121"/>
      <c r="N47" s="121"/>
      <c r="O47" s="119"/>
      <c r="Q47" s="107">
        <f>ROUND(P46*FRINGE,0)</f>
        <v>0</v>
      </c>
      <c r="T47" s="323"/>
      <c r="U47" s="461"/>
      <c r="V47" s="121"/>
      <c r="W47" s="121"/>
      <c r="X47" s="121"/>
      <c r="Y47" s="461"/>
      <c r="Z47" s="121"/>
      <c r="AA47" s="121"/>
      <c r="AD47" s="107">
        <f>ROUND(AC46*FRINGE,0)</f>
        <v>0</v>
      </c>
      <c r="AE47" s="322"/>
      <c r="AH47" s="150"/>
      <c r="AI47" s="150"/>
      <c r="AJ47" s="150"/>
      <c r="AK47" s="150"/>
      <c r="AL47" s="150"/>
      <c r="AM47" s="150"/>
      <c r="AN47" s="150"/>
      <c r="AO47" s="109"/>
      <c r="AP47" s="735"/>
      <c r="AQ47" s="735"/>
      <c r="AS47" s="506"/>
      <c r="AU47" s="507"/>
      <c r="BC47" s="177">
        <f>ROUND(Q47,0)</f>
        <v>0</v>
      </c>
      <c r="BE47" s="177">
        <f>ROUND(AD47,0)</f>
        <v>0</v>
      </c>
      <c r="BG47" s="178">
        <f>ROUND(BE47+BC47,0)</f>
        <v>0</v>
      </c>
    </row>
    <row r="48" spans="1:59" ht="3" hidden="1" customHeight="1" x14ac:dyDescent="0.3">
      <c r="C48" s="125"/>
      <c r="D48" s="115"/>
      <c r="E48" s="115"/>
      <c r="H48" s="121"/>
      <c r="I48" s="121"/>
      <c r="J48" s="121"/>
      <c r="K48" s="121"/>
      <c r="L48" s="121"/>
      <c r="M48" s="121"/>
      <c r="N48" s="121"/>
      <c r="O48" s="119"/>
      <c r="T48" s="323"/>
      <c r="U48" s="461"/>
      <c r="V48" s="121"/>
      <c r="W48" s="121"/>
      <c r="X48" s="121"/>
      <c r="Y48" s="461"/>
      <c r="Z48" s="121"/>
      <c r="AA48" s="121"/>
      <c r="AE48" s="322"/>
      <c r="AH48" s="150"/>
      <c r="AI48" s="150"/>
      <c r="AJ48" s="150"/>
      <c r="AK48" s="150"/>
      <c r="AL48" s="150"/>
      <c r="AM48" s="150"/>
      <c r="AN48" s="150"/>
      <c r="AO48" s="109"/>
      <c r="AP48" s="605"/>
      <c r="AQ48" s="605"/>
      <c r="AS48" s="506"/>
      <c r="AU48" s="507"/>
    </row>
    <row r="49" spans="1:59" ht="14.25" hidden="1" customHeight="1" x14ac:dyDescent="0.3">
      <c r="B49" s="113"/>
      <c r="C49" s="125">
        <v>1</v>
      </c>
      <c r="D49" s="21" t="s">
        <v>652</v>
      </c>
      <c r="F49" s="180">
        <f>(VLOOKUP(D49,Salaries!$A$3:$I$370,8,FALSE))</f>
        <v>54651.8</v>
      </c>
      <c r="H49" s="385"/>
      <c r="I49" s="306"/>
      <c r="J49" s="307"/>
      <c r="K49" s="307"/>
      <c r="L49" s="385"/>
      <c r="M49" s="305"/>
      <c r="N49" s="307"/>
      <c r="O49" s="146"/>
      <c r="P49" s="724">
        <f>ROUND((VLOOKUP($D49,Salaries!$A$3:$I$370,9,FALSE)*H49*J49)+(VLOOKUP($D49,Salaries!$A$3:$I$370,9,FALSE)*L49*N49),0)</f>
        <v>0</v>
      </c>
      <c r="Q49" s="724"/>
      <c r="T49" s="323"/>
      <c r="U49" s="460"/>
      <c r="V49" s="306"/>
      <c r="W49" s="307"/>
      <c r="X49" s="307"/>
      <c r="Y49" s="460"/>
      <c r="Z49" s="305"/>
      <c r="AA49" s="307"/>
      <c r="AC49" s="724">
        <f>ROUND((VLOOKUP($D49,Salaries!$A$3:$I$370,9,FALSE)*U49*W49)+(VLOOKUP($D49,Salaries!$A$3:$I$370,9,FALSE)*Y49*AA49),0)</f>
        <v>0</v>
      </c>
      <c r="AD49" s="724"/>
      <c r="AE49" s="322"/>
      <c r="AH49" s="150">
        <f>U49+H49</f>
        <v>0</v>
      </c>
      <c r="AI49" s="150"/>
      <c r="AJ49" s="308">
        <f>W49+J49</f>
        <v>0</v>
      </c>
      <c r="AK49" s="150"/>
      <c r="AL49" s="150">
        <f>Y49+L49</f>
        <v>0</v>
      </c>
      <c r="AM49" s="150"/>
      <c r="AN49" s="308">
        <f>AA49+N49</f>
        <v>0</v>
      </c>
      <c r="AO49" s="109"/>
      <c r="AP49" s="735">
        <f>ROUND(SUM(P49:Q50)+SUM(AC49:AD50),0)</f>
        <v>0</v>
      </c>
      <c r="AQ49" s="735"/>
      <c r="AS49" s="506"/>
      <c r="AU49" s="507"/>
      <c r="AW49" s="177">
        <f>P49</f>
        <v>0</v>
      </c>
      <c r="AY49" s="177">
        <f>ROUND(AC49,0)</f>
        <v>0</v>
      </c>
      <c r="BA49" s="178">
        <f>ROUND(AY49+AW49,0)</f>
        <v>0</v>
      </c>
    </row>
    <row r="50" spans="1:59" hidden="1" x14ac:dyDescent="0.3">
      <c r="C50" s="125"/>
      <c r="D50" s="106" t="str">
        <f>"Fringe @ "&amp;TEXT(FRINGE,"0.00%")</f>
        <v>Fringe @ 27.27%</v>
      </c>
      <c r="H50" s="121"/>
      <c r="I50" s="121"/>
      <c r="J50" s="121"/>
      <c r="K50" s="121"/>
      <c r="L50" s="121"/>
      <c r="M50" s="121"/>
      <c r="N50" s="121"/>
      <c r="O50" s="119"/>
      <c r="Q50" s="107">
        <f>ROUND(P49*FRINGE,0)</f>
        <v>0</v>
      </c>
      <c r="T50" s="323"/>
      <c r="U50" s="121"/>
      <c r="V50" s="121"/>
      <c r="W50" s="121"/>
      <c r="X50" s="121"/>
      <c r="Y50" s="121"/>
      <c r="Z50" s="121"/>
      <c r="AA50" s="121"/>
      <c r="AD50" s="107">
        <f>ROUND(AC49*FRINGE,0)</f>
        <v>0</v>
      </c>
      <c r="AE50" s="322"/>
      <c r="AH50" s="150"/>
      <c r="AI50" s="150"/>
      <c r="AJ50" s="150"/>
      <c r="AK50" s="150"/>
      <c r="AL50" s="150"/>
      <c r="AM50" s="150"/>
      <c r="AN50" s="150"/>
      <c r="AO50" s="109"/>
      <c r="AP50" s="735"/>
      <c r="AQ50" s="735"/>
      <c r="AS50" s="506"/>
      <c r="AU50" s="507"/>
      <c r="BC50" s="177">
        <f>ROUND(Q50,0)</f>
        <v>0</v>
      </c>
      <c r="BE50" s="177">
        <f>ROUND(AD50,0)</f>
        <v>0</v>
      </c>
      <c r="BG50" s="178">
        <f>ROUND(BE50+BC50,0)</f>
        <v>0</v>
      </c>
    </row>
    <row r="51" spans="1:59" ht="3" hidden="1" customHeight="1" x14ac:dyDescent="0.3">
      <c r="B51" s="127"/>
      <c r="C51" s="125"/>
      <c r="H51" s="121"/>
      <c r="I51" s="121"/>
      <c r="J51" s="121"/>
      <c r="K51" s="121"/>
      <c r="L51" s="121"/>
      <c r="M51" s="121"/>
      <c r="N51" s="121"/>
      <c r="O51" s="119"/>
      <c r="T51" s="323"/>
      <c r="U51" s="121"/>
      <c r="V51" s="121"/>
      <c r="W51" s="121"/>
      <c r="X51" s="121"/>
      <c r="Y51" s="121"/>
      <c r="Z51" s="121"/>
      <c r="AA51" s="121"/>
      <c r="AE51" s="322"/>
      <c r="AH51" s="150"/>
      <c r="AI51" s="150"/>
      <c r="AJ51" s="150"/>
      <c r="AK51" s="150"/>
      <c r="AL51" s="150"/>
      <c r="AM51" s="150"/>
      <c r="AN51" s="150"/>
      <c r="AO51" s="109"/>
      <c r="AS51" s="506"/>
      <c r="AU51" s="507"/>
    </row>
    <row r="52" spans="1:59" ht="14.25" customHeight="1" x14ac:dyDescent="0.3">
      <c r="B52" s="113"/>
      <c r="C52" s="125">
        <v>1</v>
      </c>
      <c r="D52" s="21" t="s">
        <v>657</v>
      </c>
      <c r="F52" s="417">
        <f>ROUND((VLOOKUP(D52,Salaries!$A$365:$I$366,8,FALSE)),0)</f>
        <v>52458</v>
      </c>
      <c r="H52" s="385"/>
      <c r="I52" s="306"/>
      <c r="J52" s="307"/>
      <c r="K52" s="307"/>
      <c r="L52" s="385"/>
      <c r="M52" s="305"/>
      <c r="N52" s="307"/>
      <c r="O52" s="146"/>
      <c r="P52" s="724">
        <f>ROUND((VLOOKUP($D52,Salaries!$A$365:$I$366,9,FALSE)*H52*J52)+(VLOOKUP($D52,Salaries!$A$365:$I$366,9,FALSE)*L52*N52),0)*$C52</f>
        <v>0</v>
      </c>
      <c r="Q52" s="724"/>
      <c r="T52" s="323"/>
      <c r="U52" s="460"/>
      <c r="V52" s="305"/>
      <c r="W52" s="307"/>
      <c r="X52" s="307"/>
      <c r="Y52" s="460"/>
      <c r="Z52" s="305"/>
      <c r="AA52" s="307"/>
      <c r="AC52" s="724">
        <f>ROUND((VLOOKUP($D52,Salaries!$A$3:$I$370,9,FALSE)*U52*W52)+(VLOOKUP($D52,Salaries!$A$3:$I$370,9,FALSE)*Y52*AA52),0)</f>
        <v>0</v>
      </c>
      <c r="AD52" s="724"/>
      <c r="AE52" s="322"/>
      <c r="AH52" s="150">
        <f>H52</f>
        <v>0</v>
      </c>
      <c r="AI52" s="150"/>
      <c r="AJ52" s="308">
        <f>W52+J52</f>
        <v>0</v>
      </c>
      <c r="AK52" s="150"/>
      <c r="AL52" s="150">
        <f>L52</f>
        <v>0</v>
      </c>
      <c r="AM52" s="150"/>
      <c r="AN52" s="308">
        <f>AA52+N52</f>
        <v>0</v>
      </c>
      <c r="AO52" s="109"/>
      <c r="AP52" s="735">
        <f>ROUND(SUM(P52:Q53)+SUM(AC52:AD53),0)</f>
        <v>0</v>
      </c>
      <c r="AQ52" s="735"/>
      <c r="AS52" s="506"/>
      <c r="AU52" s="507"/>
      <c r="AW52" s="177">
        <f>P52</f>
        <v>0</v>
      </c>
      <c r="AY52" s="177">
        <f>ROUND(AC52,0)</f>
        <v>0</v>
      </c>
      <c r="BA52" s="178">
        <f>ROUND(AY52+AW52,0)</f>
        <v>0</v>
      </c>
    </row>
    <row r="53" spans="1:59" x14ac:dyDescent="0.3">
      <c r="A53" s="109"/>
      <c r="B53" s="109"/>
      <c r="C53" s="125"/>
      <c r="D53" s="106" t="str">
        <f>"Fringe @ "&amp;TEXT(StuFRINGE,"0.00%")</f>
        <v>Fringe @ 7.99%</v>
      </c>
      <c r="F53" s="417"/>
      <c r="H53" s="382"/>
      <c r="I53" s="382"/>
      <c r="J53" s="382"/>
      <c r="K53" s="382"/>
      <c r="L53" s="382"/>
      <c r="M53" s="382"/>
      <c r="N53" s="382"/>
      <c r="O53" s="119"/>
      <c r="Q53" s="107">
        <f>ROUND(P52*StuFRINGE,0)</f>
        <v>0</v>
      </c>
      <c r="T53" s="323"/>
      <c r="U53" s="382"/>
      <c r="V53" s="382"/>
      <c r="W53" s="382"/>
      <c r="X53" s="382"/>
      <c r="Y53" s="382"/>
      <c r="Z53" s="382"/>
      <c r="AA53" s="382"/>
      <c r="AD53" s="107">
        <f>ROUND(AC52*StuFRINGE,0)</f>
        <v>0</v>
      </c>
      <c r="AE53" s="322"/>
      <c r="AH53" s="150"/>
      <c r="AI53" s="150"/>
      <c r="AJ53" s="150"/>
      <c r="AK53" s="150"/>
      <c r="AL53" s="150"/>
      <c r="AM53" s="150"/>
      <c r="AN53" s="150"/>
      <c r="AO53" s="109"/>
      <c r="AP53" s="735"/>
      <c r="AQ53" s="735"/>
      <c r="AS53" s="506"/>
      <c r="AU53" s="507"/>
      <c r="BC53" s="177">
        <f>ROUND(Q53,0)</f>
        <v>0</v>
      </c>
      <c r="BE53" s="177">
        <f>ROUND(AD53,0)</f>
        <v>0</v>
      </c>
      <c r="BG53" s="178">
        <f>ROUND(BE53+BC53,0)</f>
        <v>0</v>
      </c>
    </row>
    <row r="54" spans="1:59" ht="3" customHeight="1" x14ac:dyDescent="0.3">
      <c r="C54" s="279"/>
      <c r="D54" s="115"/>
      <c r="E54" s="115"/>
      <c r="F54" s="417"/>
      <c r="H54" s="382"/>
      <c r="I54" s="382"/>
      <c r="J54" s="382"/>
      <c r="K54" s="382"/>
      <c r="L54" s="382"/>
      <c r="M54" s="382"/>
      <c r="N54" s="382"/>
      <c r="O54" s="119"/>
      <c r="T54" s="323"/>
      <c r="U54" s="382"/>
      <c r="V54" s="382"/>
      <c r="W54" s="382"/>
      <c r="X54" s="382"/>
      <c r="Y54" s="382"/>
      <c r="Z54" s="382"/>
      <c r="AA54" s="382"/>
      <c r="AE54" s="322"/>
      <c r="AH54" s="150"/>
      <c r="AI54" s="150"/>
      <c r="AJ54" s="150"/>
      <c r="AK54" s="150"/>
      <c r="AL54" s="150"/>
      <c r="AM54" s="150"/>
      <c r="AN54" s="150"/>
      <c r="AO54" s="109"/>
      <c r="AS54" s="506"/>
      <c r="AU54" s="507"/>
    </row>
    <row r="55" spans="1:59" ht="14.25" customHeight="1" x14ac:dyDescent="0.3">
      <c r="C55" s="125">
        <v>1</v>
      </c>
      <c r="D55" s="21" t="s">
        <v>657</v>
      </c>
      <c r="F55" s="417">
        <f>ROUND((VLOOKUP(D55,Salaries!$A$365:$I$366,8,FALSE)),0)</f>
        <v>52458</v>
      </c>
      <c r="H55" s="385"/>
      <c r="I55" s="306"/>
      <c r="J55" s="307"/>
      <c r="K55" s="307"/>
      <c r="L55" s="385"/>
      <c r="M55" s="305"/>
      <c r="N55" s="307"/>
      <c r="O55" s="146"/>
      <c r="P55" s="724">
        <f>ROUND((VLOOKUP($D55,Salaries!$A$365:$I$366,9,FALSE)*H55*J55)+(VLOOKUP($D55,Salaries!$A$365:$I$366,9,FALSE)*L55*N55),0)*$C55</f>
        <v>0</v>
      </c>
      <c r="Q55" s="724"/>
      <c r="T55" s="323"/>
      <c r="U55" s="460"/>
      <c r="V55" s="305"/>
      <c r="W55" s="307"/>
      <c r="X55" s="307"/>
      <c r="Y55" s="460"/>
      <c r="Z55" s="305"/>
      <c r="AA55" s="307"/>
      <c r="AC55" s="724">
        <f>ROUND((VLOOKUP($D55,Salaries!$A$3:$I$370,9,FALSE)*U55*W55)+(VLOOKUP($D55,Salaries!$A$3:$I$370,9,FALSE)*Y55*AA55),0)</f>
        <v>0</v>
      </c>
      <c r="AD55" s="724"/>
      <c r="AE55" s="322"/>
      <c r="AH55" s="150">
        <f>H55</f>
        <v>0</v>
      </c>
      <c r="AI55" s="150"/>
      <c r="AJ55" s="308">
        <f>W55+J55</f>
        <v>0</v>
      </c>
      <c r="AK55" s="150"/>
      <c r="AL55" s="150">
        <f>L55</f>
        <v>0</v>
      </c>
      <c r="AM55" s="150"/>
      <c r="AN55" s="308">
        <f>AA55+N55</f>
        <v>0</v>
      </c>
      <c r="AO55" s="109"/>
      <c r="AP55" s="735">
        <f>ROUND(SUM(P55:Q56)+SUM(AC55:AD56),0)</f>
        <v>0</v>
      </c>
      <c r="AQ55" s="735"/>
      <c r="AS55" s="506"/>
      <c r="AU55" s="507"/>
      <c r="AW55" s="177">
        <f>P55</f>
        <v>0</v>
      </c>
      <c r="AY55" s="177">
        <f>ROUND(AC55,0)</f>
        <v>0</v>
      </c>
      <c r="BA55" s="178">
        <f>ROUND(AY55+AW55,0)</f>
        <v>0</v>
      </c>
    </row>
    <row r="56" spans="1:59" x14ac:dyDescent="0.3">
      <c r="C56" s="125"/>
      <c r="D56" s="106" t="str">
        <f>"Fringe @ "&amp;TEXT(StuFRINGE,"0.00%")</f>
        <v>Fringe @ 7.99%</v>
      </c>
      <c r="F56" s="417"/>
      <c r="H56" s="121"/>
      <c r="I56" s="121"/>
      <c r="J56" s="121"/>
      <c r="K56" s="121"/>
      <c r="L56" s="121"/>
      <c r="M56" s="121"/>
      <c r="N56" s="121"/>
      <c r="O56" s="119"/>
      <c r="Q56" s="107">
        <f>ROUND(P55*StuFRINGE,0)</f>
        <v>0</v>
      </c>
      <c r="T56" s="323"/>
      <c r="U56" s="121"/>
      <c r="V56" s="121"/>
      <c r="W56" s="121"/>
      <c r="X56" s="121"/>
      <c r="Y56" s="121"/>
      <c r="Z56" s="121"/>
      <c r="AA56" s="121"/>
      <c r="AD56" s="107">
        <f>ROUND(AC55*StuFRINGE,0)</f>
        <v>0</v>
      </c>
      <c r="AE56" s="322"/>
      <c r="AH56" s="150"/>
      <c r="AI56" s="150"/>
      <c r="AJ56" s="150"/>
      <c r="AK56" s="150"/>
      <c r="AL56" s="150"/>
      <c r="AM56" s="150"/>
      <c r="AN56" s="150"/>
      <c r="AO56" s="109"/>
      <c r="AP56" s="735"/>
      <c r="AQ56" s="735"/>
      <c r="AS56" s="506"/>
      <c r="AU56" s="507"/>
      <c r="BC56" s="177">
        <f>ROUND(Q56,0)</f>
        <v>0</v>
      </c>
      <c r="BE56" s="177">
        <f>ROUND(AD56,0)</f>
        <v>0</v>
      </c>
      <c r="BG56" s="178">
        <f>ROUND(BE56+BC56,0)</f>
        <v>0</v>
      </c>
    </row>
    <row r="57" spans="1:59" ht="3" customHeight="1" x14ac:dyDescent="0.3">
      <c r="C57" s="279"/>
      <c r="D57" s="115"/>
      <c r="E57" s="115"/>
      <c r="F57" s="417"/>
      <c r="L57" s="121"/>
      <c r="M57" s="121"/>
      <c r="N57" s="121"/>
      <c r="O57" s="121"/>
      <c r="T57" s="323"/>
      <c r="Y57" s="121"/>
      <c r="Z57" s="121"/>
      <c r="AA57" s="121"/>
      <c r="AE57" s="322"/>
      <c r="AH57" s="109"/>
      <c r="AI57" s="109"/>
      <c r="AJ57" s="109"/>
      <c r="AK57" s="109"/>
      <c r="AL57" s="150"/>
      <c r="AM57" s="150"/>
      <c r="AN57" s="150"/>
      <c r="AO57" s="109"/>
      <c r="AS57" s="506"/>
      <c r="AU57" s="507"/>
    </row>
    <row r="58" spans="1:59" ht="14.25" customHeight="1" x14ac:dyDescent="0.3">
      <c r="C58" s="125"/>
      <c r="D58" s="21" t="s">
        <v>657</v>
      </c>
      <c r="F58" s="417">
        <f>ROUND((VLOOKUP(D58,Salaries!$A$365:$I$366,8,FALSE)),0)</f>
        <v>52458</v>
      </c>
      <c r="H58" s="385"/>
      <c r="I58" s="306"/>
      <c r="J58" s="307"/>
      <c r="K58" s="307"/>
      <c r="L58" s="385"/>
      <c r="M58" s="305"/>
      <c r="N58" s="307"/>
      <c r="O58" s="146"/>
      <c r="P58" s="724">
        <f>ROUND((VLOOKUP($D58,Salaries!$A$365:$I$366,9,FALSE)*H58*J58)+(VLOOKUP($D58,Salaries!$A$365:$I$366,9,FALSE)*L58*N58),0)*$C58</f>
        <v>0</v>
      </c>
      <c r="Q58" s="724"/>
      <c r="T58" s="323"/>
      <c r="U58" s="460"/>
      <c r="V58" s="305"/>
      <c r="W58" s="307"/>
      <c r="X58" s="307"/>
      <c r="Y58" s="460"/>
      <c r="Z58" s="305"/>
      <c r="AA58" s="307"/>
      <c r="AC58" s="724">
        <f>ROUND((VLOOKUP($D58,Salaries!$A$3:$I$370,9,FALSE)*U58*W58)+(VLOOKUP($D58,Salaries!$A$3:$I$370,9,FALSE)*Y58*AA58),0)</f>
        <v>0</v>
      </c>
      <c r="AD58" s="724"/>
      <c r="AE58" s="322"/>
      <c r="AH58" s="150">
        <f>U58+H58</f>
        <v>0</v>
      </c>
      <c r="AI58" s="150"/>
      <c r="AJ58" s="308">
        <f>W58+J58</f>
        <v>0</v>
      </c>
      <c r="AK58" s="150"/>
      <c r="AL58" s="150">
        <f>Y58+L58</f>
        <v>0</v>
      </c>
      <c r="AM58" s="150"/>
      <c r="AN58" s="308">
        <f>AA58+N58</f>
        <v>0</v>
      </c>
      <c r="AO58" s="109"/>
      <c r="AP58" s="735">
        <f>ROUND(SUM(P58:Q59)+SUM(AC58:AD59),0)</f>
        <v>0</v>
      </c>
      <c r="AQ58" s="735"/>
      <c r="AS58" s="506"/>
      <c r="AU58" s="507"/>
      <c r="AW58" s="177">
        <f>P58</f>
        <v>0</v>
      </c>
      <c r="AY58" s="177">
        <f>ROUND(AC58,0)</f>
        <v>0</v>
      </c>
      <c r="BA58" s="178">
        <f>ROUND(AY58+AW58,0)</f>
        <v>0</v>
      </c>
    </row>
    <row r="59" spans="1:59" x14ac:dyDescent="0.3">
      <c r="C59" s="125"/>
      <c r="D59" s="106" t="str">
        <f>"Fringe @ "&amp;TEXT(StuFRINGE,"0.00%")</f>
        <v>Fringe @ 7.99%</v>
      </c>
      <c r="F59" s="417"/>
      <c r="H59" s="121"/>
      <c r="I59" s="121"/>
      <c r="J59" s="121"/>
      <c r="K59" s="121"/>
      <c r="L59" s="121"/>
      <c r="M59" s="121"/>
      <c r="N59" s="121"/>
      <c r="O59" s="119"/>
      <c r="Q59" s="107">
        <f>ROUND(P58*StuFRINGE,0)</f>
        <v>0</v>
      </c>
      <c r="T59" s="323"/>
      <c r="U59" s="121"/>
      <c r="V59" s="121"/>
      <c r="W59" s="121"/>
      <c r="X59" s="121"/>
      <c r="Y59" s="121"/>
      <c r="Z59" s="121"/>
      <c r="AA59" s="121"/>
      <c r="AD59" s="107">
        <f>ROUND(AC58*StuFRINGE,0)</f>
        <v>0</v>
      </c>
      <c r="AE59" s="322"/>
      <c r="AH59" s="150"/>
      <c r="AI59" s="150"/>
      <c r="AJ59" s="150"/>
      <c r="AK59" s="150"/>
      <c r="AL59" s="150"/>
      <c r="AM59" s="150"/>
      <c r="AN59" s="150"/>
      <c r="AO59" s="109"/>
      <c r="AP59" s="735"/>
      <c r="AQ59" s="735"/>
      <c r="AS59" s="506"/>
      <c r="AU59" s="507"/>
      <c r="BC59" s="177">
        <f>ROUND(Q59,0)</f>
        <v>0</v>
      </c>
      <c r="BE59" s="177">
        <f>ROUND(AD59,0)</f>
        <v>0</v>
      </c>
      <c r="BG59" s="178">
        <f>ROUND(BE59+BC59,0)</f>
        <v>0</v>
      </c>
    </row>
    <row r="60" spans="1:59" ht="3" customHeight="1" x14ac:dyDescent="0.3">
      <c r="C60" s="125"/>
      <c r="D60" s="115"/>
      <c r="E60" s="115"/>
      <c r="F60" s="417"/>
      <c r="T60" s="323"/>
      <c r="AE60" s="322"/>
      <c r="AH60" s="109"/>
      <c r="AI60" s="109"/>
      <c r="AJ60" s="109"/>
      <c r="AK60" s="109"/>
      <c r="AL60" s="109"/>
      <c r="AM60" s="109"/>
      <c r="AN60" s="109"/>
      <c r="AO60" s="109"/>
      <c r="AS60" s="506"/>
      <c r="AU60" s="507"/>
    </row>
    <row r="61" spans="1:59" ht="14.25" customHeight="1" x14ac:dyDescent="0.3">
      <c r="C61" s="125">
        <v>1</v>
      </c>
      <c r="D61" s="21" t="s">
        <v>657</v>
      </c>
      <c r="F61" s="417">
        <f>ROUND((VLOOKUP(D61,Salaries!$A$365:$I$366,8,FALSE)),0)</f>
        <v>52458</v>
      </c>
      <c r="H61" s="385"/>
      <c r="I61" s="306"/>
      <c r="J61" s="307"/>
      <c r="K61" s="307"/>
      <c r="L61" s="385"/>
      <c r="M61" s="305"/>
      <c r="N61" s="307"/>
      <c r="O61" s="146"/>
      <c r="P61" s="739">
        <f>ROUND(F61/12*H61*J61+F61/12*L61*N61, 0)*C61</f>
        <v>0</v>
      </c>
      <c r="Q61" s="739"/>
      <c r="T61" s="323"/>
      <c r="U61" s="460"/>
      <c r="V61" s="305"/>
      <c r="W61" s="307"/>
      <c r="X61" s="307"/>
      <c r="Y61" s="460"/>
      <c r="Z61" s="305"/>
      <c r="AA61" s="307"/>
      <c r="AC61" s="724">
        <f>ROUND((F61/12*U61*W61)+(F61/12*Y61*AA61),0)</f>
        <v>0</v>
      </c>
      <c r="AD61" s="724"/>
      <c r="AE61" s="322"/>
      <c r="AH61" s="150">
        <f>U61+H61</f>
        <v>0</v>
      </c>
      <c r="AI61" s="150"/>
      <c r="AJ61" s="308">
        <f>W61+J61</f>
        <v>0</v>
      </c>
      <c r="AK61" s="150"/>
      <c r="AL61" s="150">
        <f>Y61+L61</f>
        <v>0</v>
      </c>
      <c r="AM61" s="150"/>
      <c r="AN61" s="308">
        <f>AA61+N61</f>
        <v>0</v>
      </c>
      <c r="AO61" s="109"/>
      <c r="AP61" s="735">
        <f>ROUND(SUM(P61:Q62)+SUM(AC61:AD62),0)</f>
        <v>0</v>
      </c>
      <c r="AQ61" s="735"/>
      <c r="AS61" s="506"/>
      <c r="AU61" s="507"/>
      <c r="AW61" s="177">
        <f>P61</f>
        <v>0</v>
      </c>
      <c r="AY61" s="177">
        <f>ROUND(AC61,0)</f>
        <v>0</v>
      </c>
      <c r="BA61" s="178">
        <f>ROUND(AY61+AW61,0)</f>
        <v>0</v>
      </c>
    </row>
    <row r="62" spans="1:59" x14ac:dyDescent="0.3">
      <c r="C62" s="125"/>
      <c r="D62" s="106" t="str">
        <f>"Fringe @ "&amp;TEXT(StuFRINGE,"0.00%")</f>
        <v>Fringe @ 7.99%</v>
      </c>
      <c r="F62" s="417"/>
      <c r="H62" s="121"/>
      <c r="I62" s="121"/>
      <c r="J62" s="121"/>
      <c r="K62" s="121"/>
      <c r="L62" s="121"/>
      <c r="M62" s="121"/>
      <c r="N62" s="121"/>
      <c r="O62" s="119"/>
      <c r="Q62" s="107">
        <f>ROUND(P61*StuFRINGE,0)</f>
        <v>0</v>
      </c>
      <c r="T62" s="323"/>
      <c r="U62" s="121"/>
      <c r="V62" s="121"/>
      <c r="W62" s="121"/>
      <c r="X62" s="121"/>
      <c r="Y62" s="121"/>
      <c r="Z62" s="121"/>
      <c r="AA62" s="121"/>
      <c r="AD62" s="107">
        <f>ROUND(AC61*StuFRINGE,0)</f>
        <v>0</v>
      </c>
      <c r="AE62" s="322"/>
      <c r="AH62" s="150"/>
      <c r="AI62" s="150"/>
      <c r="AJ62" s="150"/>
      <c r="AK62" s="150"/>
      <c r="AL62" s="150"/>
      <c r="AM62" s="150"/>
      <c r="AN62" s="150"/>
      <c r="AO62" s="109"/>
      <c r="AP62" s="735"/>
      <c r="AQ62" s="735"/>
      <c r="AS62" s="506"/>
      <c r="AU62" s="507"/>
      <c r="BC62" s="177">
        <f>ROUND(Q62,0)</f>
        <v>0</v>
      </c>
      <c r="BE62" s="177">
        <f>ROUND(AD62,0)</f>
        <v>0</v>
      </c>
      <c r="BG62" s="178">
        <f>ROUND(BE62+BC62,0)</f>
        <v>0</v>
      </c>
    </row>
    <row r="63" spans="1:59" ht="3" customHeight="1" x14ac:dyDescent="0.3">
      <c r="C63" s="125"/>
      <c r="D63" s="115"/>
      <c r="E63" s="115"/>
      <c r="L63" s="123"/>
      <c r="M63" s="123"/>
      <c r="N63" s="123"/>
      <c r="O63" s="123"/>
      <c r="T63" s="323"/>
      <c r="Y63" s="123"/>
      <c r="Z63" s="123"/>
      <c r="AA63" s="123"/>
      <c r="AE63" s="322"/>
      <c r="AH63" s="109"/>
      <c r="AI63" s="109"/>
      <c r="AJ63" s="109"/>
      <c r="AK63" s="109"/>
      <c r="AL63" s="154"/>
      <c r="AM63" s="154"/>
      <c r="AN63" s="154"/>
      <c r="AO63" s="109"/>
      <c r="AS63" s="506"/>
      <c r="AU63" s="507"/>
    </row>
    <row r="64" spans="1:59" ht="14.25" customHeight="1" x14ac:dyDescent="0.3">
      <c r="C64" s="125">
        <v>1</v>
      </c>
      <c r="D64" s="21" t="s">
        <v>658</v>
      </c>
      <c r="F64" s="417">
        <f>ROUND((VLOOKUP(D64,Salaries!$A$365:$I$366,7,FALSE)),0)</f>
        <v>24960</v>
      </c>
      <c r="H64" s="385"/>
      <c r="I64" s="306"/>
      <c r="J64" s="307"/>
      <c r="K64" s="307"/>
      <c r="L64" s="385"/>
      <c r="M64" s="305"/>
      <c r="N64" s="307"/>
      <c r="O64" s="146"/>
      <c r="P64" s="739">
        <f>ROUND(F64/12*H64*J64+F64/12*L64*N64, 0)*C64</f>
        <v>0</v>
      </c>
      <c r="Q64" s="739"/>
      <c r="T64" s="323"/>
      <c r="U64" s="460"/>
      <c r="V64" s="305"/>
      <c r="W64" s="307"/>
      <c r="X64" s="307"/>
      <c r="Y64" s="460"/>
      <c r="Z64" s="305"/>
      <c r="AA64" s="307"/>
      <c r="AC64" s="724">
        <f>ROUND((F64/12*U64*W64)+(F64/12*Y64*AA64),0)</f>
        <v>0</v>
      </c>
      <c r="AD64" s="724"/>
      <c r="AE64" s="322"/>
      <c r="AH64" s="150">
        <f>U64+H64</f>
        <v>0</v>
      </c>
      <c r="AI64" s="150"/>
      <c r="AJ64" s="308">
        <f>W64+J64</f>
        <v>0</v>
      </c>
      <c r="AK64" s="150"/>
      <c r="AL64" s="150">
        <f>Y64+L64</f>
        <v>0</v>
      </c>
      <c r="AM64" s="150"/>
      <c r="AN64" s="308">
        <f>AA64+N64</f>
        <v>0</v>
      </c>
      <c r="AO64" s="109"/>
      <c r="AP64" s="735">
        <f>ROUND(SUM(P64:Q65)+SUM(AC64:AD65),0)</f>
        <v>0</v>
      </c>
      <c r="AQ64" s="735"/>
      <c r="AS64" s="506"/>
      <c r="AU64" s="507"/>
      <c r="AW64" s="177">
        <f>P64</f>
        <v>0</v>
      </c>
      <c r="AY64" s="177">
        <f>ROUND(AC64,0)</f>
        <v>0</v>
      </c>
      <c r="BA64" s="178">
        <f>ROUND(AY64+AW64,0)</f>
        <v>0</v>
      </c>
    </row>
    <row r="65" spans="1:59" x14ac:dyDescent="0.3">
      <c r="C65" s="125"/>
      <c r="D65" s="106" t="str">
        <f>"Fringe @ "&amp;TEXT(StuFRINGE,"0.00%")</f>
        <v>Fringe @ 7.99%</v>
      </c>
      <c r="H65" s="121"/>
      <c r="I65" s="121"/>
      <c r="J65" s="121"/>
      <c r="K65" s="121"/>
      <c r="L65" s="121"/>
      <c r="M65" s="121"/>
      <c r="N65" s="121"/>
      <c r="O65" s="119"/>
      <c r="Q65" s="107">
        <f>ROUND(P64*StuFRINGE,0)</f>
        <v>0</v>
      </c>
      <c r="T65" s="323"/>
      <c r="U65" s="121"/>
      <c r="V65" s="121"/>
      <c r="W65" s="121"/>
      <c r="X65" s="121"/>
      <c r="Y65" s="121"/>
      <c r="Z65" s="121"/>
      <c r="AA65" s="121"/>
      <c r="AD65" s="107">
        <f>ROUND(AC64*StuFRINGE,0)</f>
        <v>0</v>
      </c>
      <c r="AE65" s="322"/>
      <c r="AH65" s="150"/>
      <c r="AI65" s="150"/>
      <c r="AJ65" s="150"/>
      <c r="AK65" s="150"/>
      <c r="AL65" s="150"/>
      <c r="AM65" s="150"/>
      <c r="AN65" s="150"/>
      <c r="AO65" s="109"/>
      <c r="AP65" s="735"/>
      <c r="AQ65" s="735"/>
      <c r="AS65" s="506"/>
      <c r="AU65" s="507"/>
      <c r="BC65" s="177">
        <f>ROUND(Q65,0)</f>
        <v>0</v>
      </c>
      <c r="BE65" s="177">
        <f>ROUND(AD65,0)</f>
        <v>0</v>
      </c>
      <c r="BG65" s="178">
        <f>ROUND(BE65+BC65,0)</f>
        <v>0</v>
      </c>
    </row>
    <row r="66" spans="1:59" ht="3" customHeight="1" x14ac:dyDescent="0.3">
      <c r="B66" s="109"/>
      <c r="D66" s="127"/>
      <c r="E66" s="127"/>
      <c r="F66" s="278"/>
      <c r="G66" s="108"/>
      <c r="P66" s="108"/>
      <c r="Q66" s="108"/>
      <c r="T66" s="323"/>
      <c r="AC66" s="108"/>
      <c r="AD66" s="108"/>
      <c r="AE66" s="322"/>
      <c r="AH66" s="503"/>
      <c r="AI66" s="503"/>
      <c r="AJ66" s="503"/>
      <c r="AK66" s="503"/>
      <c r="AL66" s="503"/>
      <c r="AM66" s="503"/>
      <c r="AN66" s="503"/>
      <c r="AS66" s="506"/>
      <c r="AU66" s="507"/>
      <c r="AW66" s="178"/>
      <c r="AX66" s="109"/>
      <c r="AY66" s="178"/>
      <c r="AZ66" s="109"/>
      <c r="BB66" s="109"/>
      <c r="BC66" s="178"/>
      <c r="BD66" s="109"/>
      <c r="BE66" s="178"/>
      <c r="BF66" s="109"/>
    </row>
    <row r="67" spans="1:59" x14ac:dyDescent="0.3">
      <c r="B67" s="164" t="str">
        <f>CONCATENATE("TOTAL ",B45)</f>
        <v>TOTAL OTHER PERSONNEL</v>
      </c>
      <c r="C67" s="165"/>
      <c r="D67" s="166"/>
      <c r="E67" s="166"/>
      <c r="F67" s="292"/>
      <c r="G67" s="310"/>
      <c r="H67" s="165"/>
      <c r="I67" s="165"/>
      <c r="J67" s="165"/>
      <c r="K67" s="165"/>
      <c r="L67" s="165"/>
      <c r="M67" s="165"/>
      <c r="N67" s="165"/>
      <c r="O67" s="165"/>
      <c r="P67" s="310"/>
      <c r="Q67" s="310">
        <f>ROUND(SUM(P46:R66),0)</f>
        <v>0</v>
      </c>
      <c r="R67" s="310"/>
      <c r="S67" s="165"/>
      <c r="T67" s="329"/>
      <c r="U67" s="165"/>
      <c r="V67" s="165"/>
      <c r="W67" s="165"/>
      <c r="X67" s="165"/>
      <c r="Y67" s="165"/>
      <c r="Z67" s="165"/>
      <c r="AA67" s="165"/>
      <c r="AB67" s="165"/>
      <c r="AC67" s="732">
        <f>ROUND(SUM(AC46:AD66),0)</f>
        <v>0</v>
      </c>
      <c r="AD67" s="732"/>
      <c r="AE67" s="330"/>
      <c r="AF67" s="165"/>
      <c r="AG67" s="165"/>
      <c r="AH67" s="530"/>
      <c r="AI67" s="530"/>
      <c r="AJ67" s="530"/>
      <c r="AK67" s="530"/>
      <c r="AL67" s="530"/>
      <c r="AM67" s="530"/>
      <c r="AN67" s="530"/>
      <c r="AO67" s="165"/>
      <c r="AP67" s="310"/>
      <c r="AQ67" s="310">
        <f>ROUND(SUM(AP45:AQ66),0)</f>
        <v>0</v>
      </c>
      <c r="AS67" s="506"/>
      <c r="AU67" s="507"/>
      <c r="AW67" s="179"/>
      <c r="AX67" s="126"/>
      <c r="AY67" s="179"/>
      <c r="AZ67" s="126"/>
      <c r="BA67" s="179"/>
      <c r="BB67" s="126"/>
      <c r="BC67" s="179"/>
      <c r="BD67" s="126"/>
      <c r="BE67" s="179"/>
      <c r="BF67" s="126"/>
      <c r="BG67" s="179"/>
    </row>
    <row r="68" spans="1:59" ht="3" customHeight="1" x14ac:dyDescent="0.3">
      <c r="D68" s="115"/>
      <c r="E68" s="115"/>
      <c r="T68" s="323"/>
      <c r="AE68" s="322"/>
      <c r="AS68" s="506"/>
      <c r="AU68" s="507"/>
      <c r="AY68" s="177" t="s">
        <v>800</v>
      </c>
      <c r="BE68" s="177" t="s">
        <v>801</v>
      </c>
    </row>
    <row r="69" spans="1:59" x14ac:dyDescent="0.3">
      <c r="A69" s="109" t="s">
        <v>184</v>
      </c>
      <c r="B69" s="109" t="s">
        <v>769</v>
      </c>
      <c r="C69" s="109"/>
      <c r="D69" s="115"/>
      <c r="E69" s="115"/>
      <c r="T69" s="323"/>
      <c r="AE69" s="322"/>
      <c r="AS69" s="506"/>
      <c r="AU69" s="507"/>
    </row>
    <row r="70" spans="1:59" x14ac:dyDescent="0.3">
      <c r="D70" s="115"/>
      <c r="E70" s="115"/>
      <c r="P70" s="724"/>
      <c r="Q70" s="724"/>
      <c r="T70" s="323"/>
      <c r="AC70" s="739"/>
      <c r="AD70" s="739"/>
      <c r="AE70" s="322"/>
      <c r="AP70" s="735">
        <f>ROUND(SUM(P70:AE70),0)</f>
        <v>0</v>
      </c>
      <c r="AQ70" s="735"/>
      <c r="AS70" s="506">
        <f>P70</f>
        <v>0</v>
      </c>
      <c r="AU70" s="507">
        <f>AC70</f>
        <v>0</v>
      </c>
    </row>
    <row r="71" spans="1:59" x14ac:dyDescent="0.3">
      <c r="D71" s="115"/>
      <c r="E71" s="115"/>
      <c r="P71" s="724"/>
      <c r="Q71" s="724"/>
      <c r="T71" s="323"/>
      <c r="AC71" s="739"/>
      <c r="AD71" s="739"/>
      <c r="AE71" s="322"/>
      <c r="AP71" s="735">
        <f>ROUND(SUM(P71:AE71),0)</f>
        <v>0</v>
      </c>
      <c r="AQ71" s="735"/>
      <c r="AS71" s="506">
        <f>P71</f>
        <v>0</v>
      </c>
      <c r="AU71" s="507">
        <f>AD71</f>
        <v>0</v>
      </c>
    </row>
    <row r="72" spans="1:59" x14ac:dyDescent="0.3">
      <c r="D72" s="115"/>
      <c r="E72" s="115"/>
      <c r="P72" s="724"/>
      <c r="Q72" s="724"/>
      <c r="T72" s="323"/>
      <c r="AC72" s="739"/>
      <c r="AD72" s="739"/>
      <c r="AE72" s="322"/>
      <c r="AP72" s="735">
        <f>ROUND(SUM(P72:AE72),0)</f>
        <v>0</v>
      </c>
      <c r="AQ72" s="735"/>
      <c r="AS72" s="506">
        <f>P72</f>
        <v>0</v>
      </c>
      <c r="AU72" s="507">
        <f>AD72</f>
        <v>0</v>
      </c>
    </row>
    <row r="73" spans="1:59" x14ac:dyDescent="0.3">
      <c r="D73" s="115"/>
      <c r="E73" s="115"/>
      <c r="P73" s="724"/>
      <c r="Q73" s="724"/>
      <c r="T73" s="323"/>
      <c r="AC73" s="739"/>
      <c r="AD73" s="739"/>
      <c r="AE73" s="322"/>
      <c r="AP73" s="735">
        <f t="shared" ref="AP73:AP74" si="0">ROUND(SUM(P73:AE73),0)</f>
        <v>0</v>
      </c>
      <c r="AQ73" s="735"/>
      <c r="AS73" s="506">
        <f>P73</f>
        <v>0</v>
      </c>
      <c r="AU73" s="507">
        <f>AD73</f>
        <v>0</v>
      </c>
    </row>
    <row r="74" spans="1:59" x14ac:dyDescent="0.3">
      <c r="D74" s="115"/>
      <c r="E74" s="115"/>
      <c r="P74" s="724"/>
      <c r="Q74" s="724"/>
      <c r="T74" s="323"/>
      <c r="AC74" s="739"/>
      <c r="AD74" s="739"/>
      <c r="AE74" s="322"/>
      <c r="AP74" s="735">
        <f t="shared" si="0"/>
        <v>0</v>
      </c>
      <c r="AQ74" s="735"/>
      <c r="AS74" s="506">
        <f>P74</f>
        <v>0</v>
      </c>
      <c r="AU74" s="507">
        <f>AD74</f>
        <v>0</v>
      </c>
    </row>
    <row r="75" spans="1:59" ht="3" customHeight="1" x14ac:dyDescent="0.3">
      <c r="G75" s="106"/>
      <c r="P75" s="724"/>
      <c r="Q75" s="724"/>
      <c r="T75" s="323"/>
      <c r="AC75" s="724"/>
      <c r="AD75" s="724"/>
      <c r="AE75" s="322"/>
      <c r="AP75" s="724"/>
      <c r="AQ75" s="724"/>
      <c r="AS75" s="506"/>
      <c r="AU75" s="507"/>
    </row>
    <row r="76" spans="1:59" x14ac:dyDescent="0.3">
      <c r="B76" s="164" t="str">
        <f>CONCATENATE("TOTAL ",B69)</f>
        <v>TOTAL EQUIPMENT</v>
      </c>
      <c r="C76" s="165"/>
      <c r="D76" s="168"/>
      <c r="E76" s="168"/>
      <c r="F76" s="294"/>
      <c r="G76" s="311"/>
      <c r="H76" s="165"/>
      <c r="I76" s="165"/>
      <c r="J76" s="165"/>
      <c r="K76" s="165"/>
      <c r="L76" s="165"/>
      <c r="M76" s="165"/>
      <c r="N76" s="165"/>
      <c r="O76" s="165"/>
      <c r="P76" s="732">
        <f>ROUND(SUM(P69:Q75),0)</f>
        <v>0</v>
      </c>
      <c r="Q76" s="732"/>
      <c r="R76" s="165"/>
      <c r="S76" s="165"/>
      <c r="T76" s="329"/>
      <c r="U76" s="165"/>
      <c r="V76" s="165"/>
      <c r="W76" s="165"/>
      <c r="X76" s="165"/>
      <c r="Y76" s="165"/>
      <c r="Z76" s="165"/>
      <c r="AA76" s="165"/>
      <c r="AB76" s="165"/>
      <c r="AC76" s="732">
        <f>ROUND(SUM(AC69:AD75),0)</f>
        <v>0</v>
      </c>
      <c r="AD76" s="732"/>
      <c r="AE76" s="330"/>
      <c r="AF76" s="165"/>
      <c r="AG76" s="165"/>
      <c r="AH76" s="165"/>
      <c r="AI76" s="165"/>
      <c r="AJ76" s="165"/>
      <c r="AK76" s="165"/>
      <c r="AL76" s="165"/>
      <c r="AM76" s="165"/>
      <c r="AN76" s="165"/>
      <c r="AO76" s="165"/>
      <c r="AP76" s="732">
        <f>ROUND(SUM(AP69:AQ75),0)</f>
        <v>0</v>
      </c>
      <c r="AQ76" s="732"/>
      <c r="AS76" s="506"/>
      <c r="AU76" s="507"/>
    </row>
    <row r="77" spans="1:59" ht="3" customHeight="1" x14ac:dyDescent="0.3">
      <c r="D77" s="115"/>
      <c r="E77" s="115"/>
      <c r="T77" s="323"/>
      <c r="AE77" s="322"/>
      <c r="AP77" s="107"/>
      <c r="AQ77" s="107"/>
      <c r="AS77" s="506"/>
      <c r="AU77" s="507"/>
    </row>
    <row r="78" spans="1:59" x14ac:dyDescent="0.3">
      <c r="A78" s="109" t="s">
        <v>670</v>
      </c>
      <c r="B78" s="109" t="s">
        <v>765</v>
      </c>
      <c r="C78" s="109"/>
      <c r="D78" s="115"/>
      <c r="E78" s="115"/>
      <c r="P78" s="130"/>
      <c r="Q78" s="130"/>
      <c r="T78" s="323"/>
      <c r="AC78" s="130"/>
      <c r="AD78" s="130"/>
      <c r="AE78" s="322"/>
      <c r="AP78" s="107"/>
      <c r="AQ78" s="130"/>
      <c r="AS78" s="506"/>
      <c r="AU78" s="507"/>
    </row>
    <row r="79" spans="1:59" ht="29.25" customHeight="1" x14ac:dyDescent="0.3">
      <c r="A79" s="109"/>
      <c r="B79" s="131" t="s">
        <v>802</v>
      </c>
      <c r="C79" s="109" t="s">
        <v>705</v>
      </c>
      <c r="D79" s="115"/>
      <c r="E79" s="115"/>
      <c r="F79" s="157" t="s">
        <v>175</v>
      </c>
      <c r="G79" s="157"/>
      <c r="H79" s="117" t="s">
        <v>803</v>
      </c>
      <c r="I79" s="117"/>
      <c r="J79" s="540" t="s">
        <v>804</v>
      </c>
      <c r="L79" s="540" t="s">
        <v>805</v>
      </c>
      <c r="M79" s="119"/>
      <c r="P79" s="130"/>
      <c r="Q79" s="130"/>
      <c r="T79" s="323"/>
      <c r="Y79" s="119"/>
      <c r="Z79" s="119"/>
      <c r="AA79" s="119"/>
      <c r="AC79" s="130"/>
      <c r="AD79" s="130"/>
      <c r="AE79" s="322"/>
      <c r="AL79" s="119"/>
      <c r="AM79" s="119"/>
      <c r="AN79" s="119"/>
      <c r="AP79" s="107"/>
      <c r="AQ79" s="130"/>
      <c r="AS79" s="506"/>
      <c r="AU79" s="507"/>
    </row>
    <row r="80" spans="1:59" x14ac:dyDescent="0.3">
      <c r="A80" s="109"/>
      <c r="B80" s="131"/>
      <c r="C80" s="109"/>
      <c r="D80" s="115"/>
      <c r="E80" s="115"/>
      <c r="F80" s="157"/>
      <c r="L80" s="119"/>
      <c r="M80" s="119"/>
      <c r="N80" s="119"/>
      <c r="P80" s="130"/>
      <c r="Q80" s="130"/>
      <c r="T80" s="323"/>
      <c r="Y80" s="119"/>
      <c r="Z80" s="119"/>
      <c r="AA80" s="119"/>
      <c r="AC80" s="130"/>
      <c r="AD80" s="130"/>
      <c r="AE80" s="322"/>
      <c r="AL80" s="119"/>
      <c r="AM80" s="119"/>
      <c r="AN80" s="119"/>
      <c r="AP80" s="107"/>
      <c r="AQ80" s="130"/>
      <c r="AS80" s="506"/>
      <c r="AU80" s="507"/>
    </row>
    <row r="81" spans="2:47" x14ac:dyDescent="0.3">
      <c r="B81" s="125"/>
      <c r="C81" s="115" t="s">
        <v>806</v>
      </c>
      <c r="D81" s="115"/>
      <c r="E81" s="115"/>
      <c r="F81" s="180">
        <v>750</v>
      </c>
      <c r="J81" s="106">
        <v>0</v>
      </c>
      <c r="L81" s="106">
        <v>1</v>
      </c>
      <c r="P81" s="724">
        <f>J81*F81*L81</f>
        <v>0</v>
      </c>
      <c r="Q81" s="724"/>
      <c r="T81" s="323"/>
      <c r="AC81" s="724"/>
      <c r="AD81" s="724"/>
      <c r="AE81" s="322"/>
      <c r="AP81" s="735">
        <f>ROUND(SUM(P81:AE81),0)</f>
        <v>0</v>
      </c>
      <c r="AQ81" s="735"/>
      <c r="AS81" s="506"/>
      <c r="AU81" s="507"/>
    </row>
    <row r="82" spans="2:47" x14ac:dyDescent="0.3">
      <c r="B82" s="125"/>
      <c r="C82" s="115" t="s">
        <v>807</v>
      </c>
      <c r="D82" s="115"/>
      <c r="E82" s="115"/>
      <c r="F82" s="180">
        <v>175</v>
      </c>
      <c r="H82" s="106">
        <v>0</v>
      </c>
      <c r="J82" s="106">
        <v>0</v>
      </c>
      <c r="L82" s="106">
        <v>1</v>
      </c>
      <c r="P82" s="724">
        <f>J82*F82*H82*L82</f>
        <v>0</v>
      </c>
      <c r="Q82" s="724"/>
      <c r="T82" s="323"/>
      <c r="AC82" s="724"/>
      <c r="AD82" s="724"/>
      <c r="AE82" s="322"/>
      <c r="AP82" s="735">
        <f>ROUND(SUM(P82:AE82),0)</f>
        <v>0</v>
      </c>
      <c r="AQ82" s="735"/>
      <c r="AS82" s="506"/>
      <c r="AU82" s="507"/>
    </row>
    <row r="83" spans="2:47" x14ac:dyDescent="0.3">
      <c r="B83" s="125"/>
      <c r="C83" s="481" t="s">
        <v>808</v>
      </c>
      <c r="D83" s="115"/>
      <c r="E83" s="115"/>
      <c r="F83" s="180">
        <f>Data!E40</f>
        <v>56</v>
      </c>
      <c r="H83" s="106">
        <v>0</v>
      </c>
      <c r="J83" s="106">
        <v>0</v>
      </c>
      <c r="L83" s="106">
        <v>1</v>
      </c>
      <c r="P83" s="724">
        <f t="shared" ref="P83" si="1">J83*F83*H83*L83</f>
        <v>0</v>
      </c>
      <c r="Q83" s="724"/>
      <c r="T83" s="323"/>
      <c r="AC83" s="724"/>
      <c r="AD83" s="724"/>
      <c r="AE83" s="322"/>
      <c r="AP83" s="735">
        <f>ROUND(SUM(P83:AE83),0)</f>
        <v>0</v>
      </c>
      <c r="AQ83" s="735"/>
      <c r="AS83" s="506"/>
      <c r="AU83" s="507"/>
    </row>
    <row r="84" spans="2:47" x14ac:dyDescent="0.3">
      <c r="B84" s="125"/>
      <c r="C84" s="482" t="s">
        <v>809</v>
      </c>
      <c r="D84" s="115"/>
      <c r="E84" s="115"/>
      <c r="F84" s="180">
        <v>150</v>
      </c>
      <c r="J84" s="106">
        <v>0</v>
      </c>
      <c r="L84" s="106">
        <v>1</v>
      </c>
      <c r="P84" s="724">
        <f>J84*F84*L84</f>
        <v>0</v>
      </c>
      <c r="Q84" s="724"/>
      <c r="T84" s="323"/>
      <c r="AC84" s="724"/>
      <c r="AD84" s="724"/>
      <c r="AE84" s="322"/>
      <c r="AP84" s="735">
        <f>ROUND(SUM(P84:AE84),0)</f>
        <v>0</v>
      </c>
      <c r="AQ84" s="735"/>
      <c r="AS84" s="506"/>
      <c r="AU84" s="507"/>
    </row>
    <row r="85" spans="2:47" ht="3" customHeight="1" x14ac:dyDescent="0.3">
      <c r="B85" s="125"/>
      <c r="C85" s="482"/>
      <c r="D85" s="115"/>
      <c r="E85" s="115"/>
      <c r="T85" s="323"/>
      <c r="AE85" s="322"/>
      <c r="AP85" s="605"/>
      <c r="AQ85" s="605"/>
      <c r="AS85" s="506"/>
      <c r="AU85" s="507"/>
    </row>
    <row r="86" spans="2:47" x14ac:dyDescent="0.3">
      <c r="B86" s="125"/>
      <c r="D86" s="115"/>
      <c r="E86" s="115"/>
      <c r="T86" s="323"/>
      <c r="AE86" s="322"/>
      <c r="AP86" s="605"/>
      <c r="AQ86" s="605"/>
      <c r="AS86" s="506"/>
      <c r="AU86" s="507"/>
    </row>
    <row r="87" spans="2:47" x14ac:dyDescent="0.3">
      <c r="B87" s="125"/>
      <c r="C87" s="115" t="s">
        <v>806</v>
      </c>
      <c r="D87" s="115"/>
      <c r="E87" s="115"/>
      <c r="F87" s="180">
        <v>750</v>
      </c>
      <c r="J87" s="106">
        <v>0</v>
      </c>
      <c r="L87" s="106">
        <v>1</v>
      </c>
      <c r="P87" s="724">
        <f>J87*F87*L87</f>
        <v>0</v>
      </c>
      <c r="Q87" s="724"/>
      <c r="T87" s="323"/>
      <c r="AE87" s="322"/>
      <c r="AP87" s="735">
        <f>ROUND(SUM(P87:AE87),0)</f>
        <v>0</v>
      </c>
      <c r="AQ87" s="735"/>
      <c r="AS87" s="506"/>
      <c r="AU87" s="507"/>
    </row>
    <row r="88" spans="2:47" x14ac:dyDescent="0.3">
      <c r="B88" s="125"/>
      <c r="C88" s="115" t="s">
        <v>807</v>
      </c>
      <c r="D88" s="115"/>
      <c r="E88" s="115"/>
      <c r="F88" s="180">
        <v>175</v>
      </c>
      <c r="H88" s="106">
        <v>0</v>
      </c>
      <c r="J88" s="106">
        <v>0</v>
      </c>
      <c r="L88" s="106">
        <v>1</v>
      </c>
      <c r="P88" s="724">
        <f>J88*F88*H88*L88</f>
        <v>0</v>
      </c>
      <c r="Q88" s="724"/>
      <c r="T88" s="323"/>
      <c r="AE88" s="322"/>
      <c r="AP88" s="735">
        <f>ROUND(SUM(P88:AE88),0)</f>
        <v>0</v>
      </c>
      <c r="AQ88" s="735"/>
      <c r="AS88" s="506"/>
      <c r="AU88" s="507"/>
    </row>
    <row r="89" spans="2:47" x14ac:dyDescent="0.3">
      <c r="B89" s="125"/>
      <c r="C89" s="481" t="s">
        <v>808</v>
      </c>
      <c r="D89" s="115"/>
      <c r="E89" s="115"/>
      <c r="F89" s="180">
        <f>Data!E40</f>
        <v>56</v>
      </c>
      <c r="H89" s="106">
        <v>0</v>
      </c>
      <c r="J89" s="106">
        <v>0</v>
      </c>
      <c r="L89" s="106">
        <v>1</v>
      </c>
      <c r="P89" s="724">
        <f t="shared" ref="P89" si="2">J89*F89*H89*L89</f>
        <v>0</v>
      </c>
      <c r="Q89" s="724"/>
      <c r="T89" s="323"/>
      <c r="AE89" s="322"/>
      <c r="AP89" s="735">
        <f>ROUND(SUM(P89:AE89),0)</f>
        <v>0</v>
      </c>
      <c r="AQ89" s="735"/>
      <c r="AS89" s="506"/>
      <c r="AU89" s="507"/>
    </row>
    <row r="90" spans="2:47" x14ac:dyDescent="0.3">
      <c r="B90" s="125"/>
      <c r="C90" s="482" t="s">
        <v>810</v>
      </c>
      <c r="D90" s="115"/>
      <c r="E90" s="115"/>
      <c r="F90" s="180">
        <v>150</v>
      </c>
      <c r="J90" s="106">
        <v>0</v>
      </c>
      <c r="L90" s="106">
        <v>1</v>
      </c>
      <c r="P90" s="724">
        <f>J90*F90*L90</f>
        <v>0</v>
      </c>
      <c r="Q90" s="724"/>
      <c r="T90" s="323"/>
      <c r="AE90" s="322"/>
      <c r="AP90" s="735">
        <f>ROUND(SUM(P90:AE90),0)</f>
        <v>0</v>
      </c>
      <c r="AQ90" s="735"/>
      <c r="AS90" s="506"/>
      <c r="AU90" s="507"/>
    </row>
    <row r="91" spans="2:47" ht="3" customHeight="1" x14ac:dyDescent="0.3">
      <c r="B91" s="125"/>
      <c r="D91" s="132"/>
      <c r="E91" s="132"/>
      <c r="F91" s="296"/>
      <c r="G91" s="141"/>
      <c r="H91" s="134"/>
      <c r="I91" s="134"/>
      <c r="J91" s="134"/>
      <c r="K91" s="134"/>
      <c r="L91" s="134"/>
      <c r="M91" s="134"/>
      <c r="N91" s="134"/>
      <c r="O91" s="134"/>
      <c r="P91" s="736"/>
      <c r="Q91" s="736"/>
      <c r="R91" s="134"/>
      <c r="S91" s="134"/>
      <c r="T91" s="325"/>
      <c r="U91" s="134"/>
      <c r="V91" s="134"/>
      <c r="W91" s="134"/>
      <c r="X91" s="134"/>
      <c r="Y91" s="134"/>
      <c r="Z91" s="134"/>
      <c r="AA91" s="134"/>
      <c r="AB91" s="134"/>
      <c r="AC91" s="736"/>
      <c r="AD91" s="736"/>
      <c r="AE91" s="326"/>
      <c r="AF91" s="134"/>
      <c r="AG91" s="134"/>
      <c r="AH91" s="134"/>
      <c r="AI91" s="134"/>
      <c r="AJ91" s="134"/>
      <c r="AK91" s="134"/>
      <c r="AL91" s="134"/>
      <c r="AM91" s="134"/>
      <c r="AN91" s="134"/>
      <c r="AO91" s="134"/>
      <c r="AP91" s="736"/>
      <c r="AQ91" s="736"/>
      <c r="AS91" s="506"/>
      <c r="AU91" s="507"/>
    </row>
    <row r="92" spans="2:47" x14ac:dyDescent="0.3">
      <c r="B92" s="125"/>
      <c r="C92" s="109" t="str">
        <f>"Subtotal "&amp;C79</f>
        <v>Subtotal Domestic Travel</v>
      </c>
      <c r="D92" s="115"/>
      <c r="E92" s="115"/>
      <c r="P92" s="737">
        <f>ROUND(SUM(P81:Q91),0)</f>
        <v>0</v>
      </c>
      <c r="Q92" s="737"/>
      <c r="T92" s="323"/>
      <c r="AC92" s="737">
        <f>ROUND(SUM(AC81:AD91),0)</f>
        <v>0</v>
      </c>
      <c r="AD92" s="737"/>
      <c r="AE92" s="322"/>
      <c r="AP92" s="737">
        <f>ROUND(SUM(AP81:AQ91),0)</f>
        <v>0</v>
      </c>
      <c r="AQ92" s="737"/>
      <c r="AS92" s="506"/>
      <c r="AU92" s="507"/>
    </row>
    <row r="93" spans="2:47" ht="3" customHeight="1" x14ac:dyDescent="0.3">
      <c r="B93" s="125"/>
      <c r="D93" s="115"/>
      <c r="E93" s="115"/>
      <c r="T93" s="323"/>
      <c r="AE93" s="322"/>
      <c r="AP93" s="107"/>
      <c r="AQ93" s="107"/>
      <c r="AS93" s="506"/>
      <c r="AU93" s="507"/>
    </row>
    <row r="94" spans="2:47" ht="29.25" customHeight="1" x14ac:dyDescent="0.3">
      <c r="B94" s="131" t="s">
        <v>811</v>
      </c>
      <c r="C94" s="109" t="s">
        <v>707</v>
      </c>
      <c r="D94" s="115"/>
      <c r="E94" s="115"/>
      <c r="F94" s="157" t="s">
        <v>175</v>
      </c>
      <c r="H94" s="106" t="s">
        <v>803</v>
      </c>
      <c r="J94" s="540" t="s">
        <v>804</v>
      </c>
      <c r="L94" s="541" t="s">
        <v>812</v>
      </c>
      <c r="M94" s="119"/>
      <c r="N94" s="119"/>
      <c r="P94" s="130"/>
      <c r="Q94" s="130"/>
      <c r="T94" s="323"/>
      <c r="AE94" s="322"/>
      <c r="AP94" s="107"/>
      <c r="AQ94" s="107"/>
      <c r="AS94" s="506"/>
      <c r="AU94" s="507"/>
    </row>
    <row r="95" spans="2:47" x14ac:dyDescent="0.3">
      <c r="B95" s="131"/>
      <c r="C95" s="109"/>
      <c r="D95" s="115"/>
      <c r="E95" s="115"/>
      <c r="F95" s="157"/>
      <c r="L95" s="119"/>
      <c r="M95" s="119"/>
      <c r="N95" s="119"/>
      <c r="P95" s="130"/>
      <c r="Q95" s="130"/>
      <c r="T95" s="323"/>
      <c r="AE95" s="322"/>
      <c r="AP95" s="107"/>
      <c r="AQ95" s="107"/>
      <c r="AS95" s="506"/>
      <c r="AU95" s="507"/>
    </row>
    <row r="96" spans="2:47" x14ac:dyDescent="0.3">
      <c r="B96" s="125"/>
      <c r="C96" s="106" t="s">
        <v>806</v>
      </c>
      <c r="D96" s="115"/>
      <c r="E96" s="115"/>
      <c r="F96" s="180">
        <v>1300</v>
      </c>
      <c r="M96" s="119"/>
      <c r="N96" s="119"/>
      <c r="P96" s="724">
        <f>J96*F96*L96</f>
        <v>0</v>
      </c>
      <c r="Q96" s="724"/>
      <c r="T96" s="323"/>
      <c r="AC96" s="724"/>
      <c r="AD96" s="724"/>
      <c r="AE96" s="322"/>
      <c r="AP96" s="735">
        <f>ROUND(SUM(P96:AE96),0)</f>
        <v>0</v>
      </c>
      <c r="AQ96" s="735"/>
      <c r="AS96" s="506"/>
      <c r="AU96" s="507"/>
    </row>
    <row r="97" spans="1:47" x14ac:dyDescent="0.3">
      <c r="B97" s="125"/>
      <c r="C97" s="106" t="s">
        <v>807</v>
      </c>
      <c r="D97" s="115"/>
      <c r="E97" s="115"/>
      <c r="F97" s="180">
        <v>150</v>
      </c>
      <c r="P97" s="724">
        <f>J97*F97*H97*L97</f>
        <v>0</v>
      </c>
      <c r="Q97" s="724"/>
      <c r="T97" s="323"/>
      <c r="AC97" s="724"/>
      <c r="AD97" s="724"/>
      <c r="AE97" s="322"/>
      <c r="AP97" s="735">
        <f>ROUND(SUM(P97:AE97),0)</f>
        <v>0</v>
      </c>
      <c r="AQ97" s="735"/>
      <c r="AS97" s="506"/>
      <c r="AU97" s="507"/>
    </row>
    <row r="98" spans="1:47" x14ac:dyDescent="0.3">
      <c r="B98" s="125"/>
      <c r="C98" s="106" t="s">
        <v>808</v>
      </c>
      <c r="D98" s="115"/>
      <c r="E98" s="115"/>
      <c r="F98" s="180">
        <v>60</v>
      </c>
      <c r="P98" s="724">
        <f t="shared" ref="P98" si="3">J98*F98*H98*L98</f>
        <v>0</v>
      </c>
      <c r="Q98" s="724"/>
      <c r="T98" s="323"/>
      <c r="AC98" s="724"/>
      <c r="AD98" s="724"/>
      <c r="AE98" s="322"/>
      <c r="AP98" s="735">
        <f>ROUND(SUM(P98:AE98),0)</f>
        <v>0</v>
      </c>
      <c r="AQ98" s="735"/>
      <c r="AS98" s="506"/>
      <c r="AU98" s="507"/>
    </row>
    <row r="99" spans="1:47" x14ac:dyDescent="0.3">
      <c r="B99" s="125"/>
      <c r="C99" s="482" t="s">
        <v>810</v>
      </c>
      <c r="D99" s="115"/>
      <c r="E99" s="115"/>
      <c r="F99" s="180">
        <v>200</v>
      </c>
      <c r="P99" s="724">
        <f>J99*F99*L99</f>
        <v>0</v>
      </c>
      <c r="Q99" s="724"/>
      <c r="T99" s="323"/>
      <c r="AC99" s="724"/>
      <c r="AD99" s="724"/>
      <c r="AE99" s="322"/>
      <c r="AP99" s="735">
        <f>ROUND(SUM(P99:AE99),0)</f>
        <v>0</v>
      </c>
      <c r="AQ99" s="735"/>
      <c r="AS99" s="506"/>
      <c r="AU99" s="507"/>
    </row>
    <row r="100" spans="1:47" ht="3" customHeight="1" x14ac:dyDescent="0.3">
      <c r="B100" s="125"/>
      <c r="D100" s="132"/>
      <c r="E100" s="132"/>
      <c r="F100" s="296"/>
      <c r="G100" s="141"/>
      <c r="H100" s="134"/>
      <c r="I100" s="134"/>
      <c r="J100" s="134"/>
      <c r="K100" s="134"/>
      <c r="L100" s="134"/>
      <c r="M100" s="134"/>
      <c r="N100" s="134"/>
      <c r="O100" s="134"/>
      <c r="P100" s="736"/>
      <c r="Q100" s="736"/>
      <c r="R100" s="134"/>
      <c r="S100" s="134"/>
      <c r="T100" s="325"/>
      <c r="U100" s="134"/>
      <c r="V100" s="134"/>
      <c r="W100" s="134"/>
      <c r="X100" s="134"/>
      <c r="Y100" s="134"/>
      <c r="Z100" s="134"/>
      <c r="AA100" s="134"/>
      <c r="AB100" s="134"/>
      <c r="AC100" s="736"/>
      <c r="AD100" s="736"/>
      <c r="AE100" s="326"/>
      <c r="AF100" s="134"/>
      <c r="AG100" s="134"/>
      <c r="AH100" s="134"/>
      <c r="AI100" s="134"/>
      <c r="AJ100" s="134"/>
      <c r="AK100" s="134"/>
      <c r="AL100" s="134"/>
      <c r="AM100" s="134"/>
      <c r="AN100" s="134"/>
      <c r="AO100" s="134"/>
      <c r="AP100" s="736"/>
      <c r="AQ100" s="736"/>
      <c r="AS100" s="506"/>
      <c r="AU100" s="507"/>
    </row>
    <row r="101" spans="1:47" x14ac:dyDescent="0.3">
      <c r="B101" s="125"/>
      <c r="C101" s="109" t="str">
        <f>"Subtotal "&amp;C94</f>
        <v>Subtotal International Travel</v>
      </c>
      <c r="D101" s="115"/>
      <c r="E101" s="115"/>
      <c r="M101" s="155"/>
      <c r="N101" s="155"/>
      <c r="O101" s="155"/>
      <c r="P101" s="734">
        <f>ROUND(SUM(P96:Q100),0)</f>
        <v>0</v>
      </c>
      <c r="Q101" s="734"/>
      <c r="R101" s="155"/>
      <c r="S101" s="155"/>
      <c r="T101" s="317"/>
      <c r="U101" s="155"/>
      <c r="V101" s="155"/>
      <c r="W101" s="155"/>
      <c r="X101" s="155"/>
      <c r="Y101" s="155"/>
      <c r="Z101" s="155"/>
      <c r="AA101" s="155"/>
      <c r="AB101" s="155"/>
      <c r="AC101" s="734">
        <f>ROUND(SUM(AC96:AD100),0)</f>
        <v>0</v>
      </c>
      <c r="AD101" s="734"/>
      <c r="AE101" s="318"/>
      <c r="AF101" s="155"/>
      <c r="AG101" s="155"/>
      <c r="AH101" s="155"/>
      <c r="AI101" s="155"/>
      <c r="AJ101" s="155"/>
      <c r="AK101" s="155"/>
      <c r="AL101" s="155"/>
      <c r="AM101" s="155"/>
      <c r="AN101" s="155"/>
      <c r="AO101" s="155"/>
      <c r="AP101" s="734">
        <f>ROUND(SUM(AP96:AQ100),0)</f>
        <v>0</v>
      </c>
      <c r="AQ101" s="734"/>
      <c r="AS101" s="506"/>
      <c r="AU101" s="507"/>
    </row>
    <row r="102" spans="1:47" ht="3" customHeight="1" x14ac:dyDescent="0.3">
      <c r="B102" s="134"/>
      <c r="C102" s="134"/>
      <c r="D102" s="134"/>
      <c r="E102" s="134"/>
      <c r="F102" s="296"/>
      <c r="G102" s="134"/>
      <c r="H102" s="134"/>
      <c r="I102" s="134"/>
      <c r="J102" s="134"/>
      <c r="K102" s="134"/>
      <c r="L102" s="134"/>
      <c r="M102" s="134"/>
      <c r="N102" s="134"/>
      <c r="O102" s="134"/>
      <c r="P102" s="736"/>
      <c r="Q102" s="736"/>
      <c r="R102" s="134"/>
      <c r="S102" s="134"/>
      <c r="T102" s="325"/>
      <c r="U102" s="134"/>
      <c r="V102" s="134"/>
      <c r="W102" s="134"/>
      <c r="X102" s="134"/>
      <c r="Y102" s="134"/>
      <c r="Z102" s="134"/>
      <c r="AA102" s="134"/>
      <c r="AB102" s="134"/>
      <c r="AC102" s="736"/>
      <c r="AD102" s="736"/>
      <c r="AE102" s="326"/>
      <c r="AF102" s="134"/>
      <c r="AG102" s="134"/>
      <c r="AH102" s="134"/>
      <c r="AI102" s="134"/>
      <c r="AJ102" s="134"/>
      <c r="AK102" s="134"/>
      <c r="AL102" s="134"/>
      <c r="AM102" s="134"/>
      <c r="AN102" s="134"/>
      <c r="AO102" s="134"/>
      <c r="AP102" s="736"/>
      <c r="AQ102" s="736"/>
      <c r="AS102" s="506"/>
      <c r="AU102" s="507"/>
    </row>
    <row r="103" spans="1:47" x14ac:dyDescent="0.3">
      <c r="B103" s="158" t="str">
        <f>"TOTAL "&amp;B78</f>
        <v>TOTAL TRAVEL</v>
      </c>
      <c r="C103" s="159"/>
      <c r="D103" s="170"/>
      <c r="E103" s="170"/>
      <c r="F103" s="298"/>
      <c r="G103" s="312"/>
      <c r="H103" s="159"/>
      <c r="I103" s="159"/>
      <c r="J103" s="159"/>
      <c r="K103" s="159"/>
      <c r="L103" s="159"/>
      <c r="M103" s="159"/>
      <c r="N103" s="159"/>
      <c r="O103" s="159"/>
      <c r="P103" s="727">
        <f>ROUND(P101+P92,0)</f>
        <v>0</v>
      </c>
      <c r="Q103" s="727"/>
      <c r="R103" s="159"/>
      <c r="S103" s="159"/>
      <c r="T103" s="327"/>
      <c r="U103" s="159"/>
      <c r="V103" s="159"/>
      <c r="W103" s="159"/>
      <c r="X103" s="159"/>
      <c r="Y103" s="159"/>
      <c r="Z103" s="159"/>
      <c r="AA103" s="159"/>
      <c r="AB103" s="159"/>
      <c r="AC103" s="727">
        <f>ROUND(AC101+AC92,0)</f>
        <v>0</v>
      </c>
      <c r="AD103" s="727"/>
      <c r="AE103" s="328"/>
      <c r="AF103" s="159"/>
      <c r="AG103" s="159"/>
      <c r="AH103" s="159"/>
      <c r="AI103" s="159"/>
      <c r="AJ103" s="159"/>
      <c r="AK103" s="159"/>
      <c r="AL103" s="159"/>
      <c r="AM103" s="159"/>
      <c r="AN103" s="159"/>
      <c r="AO103" s="159"/>
      <c r="AP103" s="733">
        <f>ROUND(SUM(P103:AE103),0)</f>
        <v>0</v>
      </c>
      <c r="AQ103" s="733"/>
      <c r="AS103" s="506"/>
      <c r="AU103" s="507"/>
    </row>
    <row r="104" spans="1:47" ht="3" customHeight="1" x14ac:dyDescent="0.3">
      <c r="D104" s="115"/>
      <c r="E104" s="115"/>
      <c r="T104" s="323"/>
      <c r="AE104" s="322"/>
      <c r="AP104" s="107"/>
      <c r="AQ104" s="107"/>
      <c r="AS104" s="506"/>
      <c r="AU104" s="507"/>
    </row>
    <row r="105" spans="1:47" x14ac:dyDescent="0.3">
      <c r="A105" s="109" t="s">
        <v>672</v>
      </c>
      <c r="B105" s="109" t="s">
        <v>813</v>
      </c>
      <c r="D105" s="115"/>
      <c r="E105" s="115"/>
      <c r="T105" s="323"/>
      <c r="AE105" s="322"/>
      <c r="AP105" s="107"/>
      <c r="AQ105" s="107"/>
      <c r="AS105" s="506"/>
      <c r="AU105" s="507"/>
    </row>
    <row r="106" spans="1:47" x14ac:dyDescent="0.3">
      <c r="A106" s="109"/>
      <c r="B106" s="131" t="s">
        <v>802</v>
      </c>
      <c r="C106" s="109" t="s">
        <v>814</v>
      </c>
      <c r="D106" s="115"/>
      <c r="E106" s="115"/>
      <c r="T106" s="323"/>
      <c r="AE106" s="322"/>
      <c r="AP106" s="107"/>
      <c r="AQ106" s="107"/>
      <c r="AS106" s="506"/>
      <c r="AU106" s="507"/>
    </row>
    <row r="107" spans="1:47" x14ac:dyDescent="0.3">
      <c r="B107" s="125"/>
      <c r="D107" s="115"/>
      <c r="E107" s="115"/>
      <c r="P107" s="724"/>
      <c r="Q107" s="724"/>
      <c r="T107" s="323"/>
      <c r="AC107" s="724"/>
      <c r="AD107" s="724"/>
      <c r="AE107" s="322"/>
      <c r="AP107" s="735">
        <f>ROUND(SUM(P107:AE107),0)</f>
        <v>0</v>
      </c>
      <c r="AQ107" s="735"/>
      <c r="AS107" s="506"/>
      <c r="AU107" s="507"/>
    </row>
    <row r="108" spans="1:47" x14ac:dyDescent="0.3">
      <c r="B108" s="125"/>
      <c r="D108" s="115"/>
      <c r="E108" s="115"/>
      <c r="P108" s="724"/>
      <c r="Q108" s="724"/>
      <c r="T108" s="323"/>
      <c r="AC108" s="724"/>
      <c r="AD108" s="724"/>
      <c r="AE108" s="322"/>
      <c r="AP108" s="735">
        <f>ROUND(SUM(P108:AE108),0)</f>
        <v>0</v>
      </c>
      <c r="AQ108" s="735"/>
      <c r="AS108" s="506"/>
      <c r="AU108" s="507"/>
    </row>
    <row r="109" spans="1:47" x14ac:dyDescent="0.3">
      <c r="B109" s="125"/>
      <c r="D109" s="115"/>
      <c r="E109" s="115"/>
      <c r="P109" s="724"/>
      <c r="Q109" s="724"/>
      <c r="T109" s="323"/>
      <c r="AC109" s="724"/>
      <c r="AD109" s="724"/>
      <c r="AE109" s="322"/>
      <c r="AP109" s="735">
        <f>ROUND(SUM(P109:AE109),0)</f>
        <v>0</v>
      </c>
      <c r="AQ109" s="735"/>
      <c r="AS109" s="506"/>
      <c r="AU109" s="507"/>
    </row>
    <row r="110" spans="1:47" x14ac:dyDescent="0.3">
      <c r="B110" s="125"/>
      <c r="D110" s="115"/>
      <c r="E110" s="115"/>
      <c r="P110" s="724"/>
      <c r="Q110" s="724"/>
      <c r="T110" s="323"/>
      <c r="AC110" s="724"/>
      <c r="AD110" s="724"/>
      <c r="AE110" s="322"/>
      <c r="AP110" s="735">
        <f>ROUND(SUM(P110:AE110),0)</f>
        <v>0</v>
      </c>
      <c r="AQ110" s="735"/>
      <c r="AS110" s="506"/>
      <c r="AU110" s="507"/>
    </row>
    <row r="111" spans="1:47" x14ac:dyDescent="0.3">
      <c r="B111" s="125"/>
      <c r="D111" s="115"/>
      <c r="E111" s="115"/>
      <c r="P111" s="724"/>
      <c r="Q111" s="724"/>
      <c r="T111" s="323"/>
      <c r="AC111" s="724"/>
      <c r="AD111" s="724"/>
      <c r="AE111" s="322"/>
      <c r="AP111" s="735">
        <f>ROUND(SUM(P111:AE111),0)</f>
        <v>0</v>
      </c>
      <c r="AQ111" s="735"/>
      <c r="AS111" s="506"/>
      <c r="AU111" s="507"/>
    </row>
    <row r="112" spans="1:47" ht="4.5" customHeight="1" x14ac:dyDescent="0.3">
      <c r="B112" s="125"/>
      <c r="D112" s="132"/>
      <c r="E112" s="132"/>
      <c r="F112" s="296"/>
      <c r="G112" s="141"/>
      <c r="H112" s="134"/>
      <c r="I112" s="134"/>
      <c r="J112" s="134"/>
      <c r="K112" s="134"/>
      <c r="L112" s="134"/>
      <c r="M112" s="134"/>
      <c r="N112" s="134"/>
      <c r="O112" s="134"/>
      <c r="P112" s="736"/>
      <c r="Q112" s="736"/>
      <c r="R112" s="134"/>
      <c r="S112" s="134"/>
      <c r="T112" s="325"/>
      <c r="U112" s="134"/>
      <c r="V112" s="134"/>
      <c r="W112" s="134"/>
      <c r="X112" s="134"/>
      <c r="Y112" s="134"/>
      <c r="Z112" s="134"/>
      <c r="AA112" s="134"/>
      <c r="AB112" s="134"/>
      <c r="AC112" s="736"/>
      <c r="AD112" s="736"/>
      <c r="AE112" s="326"/>
      <c r="AF112" s="134"/>
      <c r="AG112" s="134"/>
      <c r="AH112" s="134"/>
      <c r="AI112" s="134"/>
      <c r="AJ112" s="134"/>
      <c r="AK112" s="134"/>
      <c r="AL112" s="134"/>
      <c r="AM112" s="134"/>
      <c r="AN112" s="134"/>
      <c r="AO112" s="134"/>
      <c r="AP112" s="736"/>
      <c r="AQ112" s="736"/>
      <c r="AS112" s="506"/>
      <c r="AU112" s="507"/>
    </row>
    <row r="113" spans="1:47" x14ac:dyDescent="0.3">
      <c r="B113" s="125"/>
      <c r="C113" s="109" t="str">
        <f>"Subtotal "&amp;C106</f>
        <v>Subtotal Tuition/Fees/Health Insurance</v>
      </c>
      <c r="D113" s="115"/>
      <c r="E113" s="115"/>
      <c r="P113" s="737">
        <f>ROUND(SUM(P107:Q112),0)</f>
        <v>0</v>
      </c>
      <c r="Q113" s="737"/>
      <c r="T113" s="323"/>
      <c r="AC113" s="737">
        <f>ROUND(SUM(AC107:AD112),0)</f>
        <v>0</v>
      </c>
      <c r="AD113" s="737"/>
      <c r="AE113" s="322"/>
      <c r="AP113" s="737">
        <f>ROUND(SUM(AP107:AQ112),0)</f>
        <v>0</v>
      </c>
      <c r="AQ113" s="737"/>
      <c r="AS113" s="506"/>
      <c r="AU113" s="507"/>
    </row>
    <row r="114" spans="1:47" ht="3.75" customHeight="1" x14ac:dyDescent="0.3">
      <c r="B114" s="125"/>
      <c r="C114" s="109"/>
      <c r="D114" s="115"/>
      <c r="E114" s="115"/>
      <c r="P114" s="108"/>
      <c r="Q114" s="108"/>
      <c r="T114" s="323"/>
      <c r="AC114" s="108"/>
      <c r="AD114" s="108"/>
      <c r="AE114" s="322"/>
      <c r="AS114" s="506"/>
      <c r="AU114" s="507"/>
    </row>
    <row r="115" spans="1:47" x14ac:dyDescent="0.3">
      <c r="A115" s="109"/>
      <c r="B115" s="131" t="s">
        <v>811</v>
      </c>
      <c r="C115" s="109" t="s">
        <v>713</v>
      </c>
      <c r="D115" s="115"/>
      <c r="E115" s="115"/>
      <c r="T115" s="323"/>
      <c r="AE115" s="322"/>
      <c r="AP115" s="107"/>
      <c r="AQ115" s="107"/>
      <c r="AS115" s="506"/>
      <c r="AU115" s="507"/>
    </row>
    <row r="116" spans="1:47" x14ac:dyDescent="0.3">
      <c r="B116" s="125"/>
      <c r="C116" s="416"/>
      <c r="D116" s="115"/>
      <c r="E116" s="115"/>
      <c r="F116" s="415"/>
      <c r="P116" s="724"/>
      <c r="Q116" s="724"/>
      <c r="T116" s="323"/>
      <c r="AC116" s="724"/>
      <c r="AD116" s="724"/>
      <c r="AE116" s="322"/>
      <c r="AP116" s="735">
        <f>ROUND(SUM(P116:AE116),0)</f>
        <v>0</v>
      </c>
      <c r="AQ116" s="735"/>
      <c r="AS116" s="506"/>
      <c r="AU116" s="507"/>
    </row>
    <row r="117" spans="1:47" x14ac:dyDescent="0.3">
      <c r="B117" s="125"/>
      <c r="D117" s="115"/>
      <c r="E117" s="115"/>
      <c r="P117" s="724"/>
      <c r="Q117" s="724"/>
      <c r="T117" s="323"/>
      <c r="AC117" s="724"/>
      <c r="AD117" s="724"/>
      <c r="AE117" s="322"/>
      <c r="AP117" s="735">
        <f>ROUND(SUM(P117:AE117),0)</f>
        <v>0</v>
      </c>
      <c r="AQ117" s="735"/>
      <c r="AS117" s="506"/>
      <c r="AU117" s="507"/>
    </row>
    <row r="118" spans="1:47" x14ac:dyDescent="0.3">
      <c r="B118" s="125"/>
      <c r="D118" s="115"/>
      <c r="E118" s="115"/>
      <c r="P118" s="724"/>
      <c r="Q118" s="724"/>
      <c r="T118" s="323"/>
      <c r="AC118" s="724"/>
      <c r="AD118" s="724"/>
      <c r="AE118" s="322"/>
      <c r="AP118" s="735">
        <f>ROUND(SUM(P118:AE118),0)</f>
        <v>0</v>
      </c>
      <c r="AQ118" s="735"/>
      <c r="AS118" s="506"/>
      <c r="AU118" s="507"/>
    </row>
    <row r="119" spans="1:47" x14ac:dyDescent="0.3">
      <c r="B119" s="125"/>
      <c r="D119" s="115"/>
      <c r="E119" s="115"/>
      <c r="P119" s="724"/>
      <c r="Q119" s="724"/>
      <c r="T119" s="323"/>
      <c r="AC119" s="724"/>
      <c r="AD119" s="724"/>
      <c r="AE119" s="322"/>
      <c r="AP119" s="735">
        <f>ROUND(SUM(P119:AE119),0)</f>
        <v>0</v>
      </c>
      <c r="AQ119" s="735"/>
      <c r="AS119" s="506"/>
      <c r="AU119" s="507"/>
    </row>
    <row r="120" spans="1:47" x14ac:dyDescent="0.3">
      <c r="B120" s="125"/>
      <c r="D120" s="115"/>
      <c r="E120" s="115"/>
      <c r="P120" s="724"/>
      <c r="Q120" s="724"/>
      <c r="T120" s="323"/>
      <c r="AC120" s="724"/>
      <c r="AD120" s="724"/>
      <c r="AE120" s="322"/>
      <c r="AP120" s="735">
        <f>ROUND(SUM(P120:AE120),0)</f>
        <v>0</v>
      </c>
      <c r="AQ120" s="735"/>
      <c r="AS120" s="506"/>
      <c r="AU120" s="507"/>
    </row>
    <row r="121" spans="1:47" ht="4.5" customHeight="1" x14ac:dyDescent="0.3">
      <c r="B121" s="125"/>
      <c r="D121" s="132"/>
      <c r="E121" s="132"/>
      <c r="F121" s="296"/>
      <c r="G121" s="141"/>
      <c r="H121" s="134"/>
      <c r="I121" s="134"/>
      <c r="J121" s="134"/>
      <c r="K121" s="134"/>
      <c r="L121" s="134"/>
      <c r="M121" s="134"/>
      <c r="N121" s="134"/>
      <c r="O121" s="134"/>
      <c r="P121" s="736"/>
      <c r="Q121" s="736"/>
      <c r="R121" s="134"/>
      <c r="S121" s="134"/>
      <c r="T121" s="325"/>
      <c r="U121" s="134"/>
      <c r="V121" s="134"/>
      <c r="W121" s="134"/>
      <c r="X121" s="134"/>
      <c r="Y121" s="134"/>
      <c r="Z121" s="134"/>
      <c r="AA121" s="134"/>
      <c r="AB121" s="134"/>
      <c r="AC121" s="736"/>
      <c r="AD121" s="736"/>
      <c r="AE121" s="326"/>
      <c r="AF121" s="134"/>
      <c r="AG121" s="134"/>
      <c r="AH121" s="134"/>
      <c r="AI121" s="134"/>
      <c r="AJ121" s="134"/>
      <c r="AK121" s="134"/>
      <c r="AL121" s="134"/>
      <c r="AM121" s="134"/>
      <c r="AN121" s="134"/>
      <c r="AO121" s="134"/>
      <c r="AP121" s="736"/>
      <c r="AQ121" s="736"/>
      <c r="AS121" s="506"/>
      <c r="AU121" s="507"/>
    </row>
    <row r="122" spans="1:47" x14ac:dyDescent="0.3">
      <c r="B122" s="125"/>
      <c r="C122" s="109" t="str">
        <f>"Subtotal "&amp;C115</f>
        <v>Subtotal Stipends</v>
      </c>
      <c r="D122" s="115"/>
      <c r="E122" s="115"/>
      <c r="P122" s="737">
        <f>ROUND(SUM(P116:Q121),0)</f>
        <v>0</v>
      </c>
      <c r="Q122" s="737"/>
      <c r="T122" s="323"/>
      <c r="AC122" s="737">
        <f>ROUND(SUM(AC116:AD121),0)</f>
        <v>0</v>
      </c>
      <c r="AD122" s="737"/>
      <c r="AE122" s="322"/>
      <c r="AP122" s="737">
        <f>ROUND(SUM(AP116:AQ121),0)</f>
        <v>0</v>
      </c>
      <c r="AQ122" s="737"/>
      <c r="AS122" s="506"/>
      <c r="AU122" s="507"/>
    </row>
    <row r="123" spans="1:47" ht="3.75" customHeight="1" x14ac:dyDescent="0.3">
      <c r="B123" s="125"/>
      <c r="C123" s="109"/>
      <c r="D123" s="115"/>
      <c r="E123" s="115"/>
      <c r="P123" s="108"/>
      <c r="Q123" s="108"/>
      <c r="T123" s="323"/>
      <c r="AC123" s="108"/>
      <c r="AD123" s="108"/>
      <c r="AE123" s="322"/>
      <c r="AS123" s="506"/>
      <c r="AU123" s="507"/>
    </row>
    <row r="124" spans="1:47" x14ac:dyDescent="0.3">
      <c r="A124" s="109"/>
      <c r="B124" s="131" t="s">
        <v>815</v>
      </c>
      <c r="C124" s="109" t="s">
        <v>703</v>
      </c>
      <c r="D124" s="115"/>
      <c r="E124" s="115"/>
      <c r="T124" s="323"/>
      <c r="AE124" s="322"/>
      <c r="AP124" s="107"/>
      <c r="AQ124" s="107"/>
      <c r="AS124" s="506"/>
      <c r="AU124" s="507"/>
    </row>
    <row r="125" spans="1:47" x14ac:dyDescent="0.3">
      <c r="B125" s="125"/>
      <c r="D125" s="115"/>
      <c r="E125" s="115"/>
      <c r="P125" s="724"/>
      <c r="Q125" s="724"/>
      <c r="T125" s="323"/>
      <c r="AC125" s="724"/>
      <c r="AD125" s="724"/>
      <c r="AE125" s="322"/>
      <c r="AP125" s="735">
        <f>ROUND(SUM(P125:AE125),0)</f>
        <v>0</v>
      </c>
      <c r="AQ125" s="735"/>
      <c r="AS125" s="506"/>
      <c r="AU125" s="507"/>
    </row>
    <row r="126" spans="1:47" x14ac:dyDescent="0.3">
      <c r="B126" s="125"/>
      <c r="C126" s="416"/>
      <c r="D126" s="115"/>
      <c r="E126" s="115"/>
      <c r="P126" s="724"/>
      <c r="Q126" s="724"/>
      <c r="T126" s="323"/>
      <c r="AC126" s="724"/>
      <c r="AD126" s="724"/>
      <c r="AE126" s="322"/>
      <c r="AP126" s="735">
        <f>ROUND(SUM(P126:AE126),0)</f>
        <v>0</v>
      </c>
      <c r="AQ126" s="735"/>
      <c r="AS126" s="506"/>
      <c r="AU126" s="507"/>
    </row>
    <row r="127" spans="1:47" x14ac:dyDescent="0.3">
      <c r="B127" s="125"/>
      <c r="D127" s="115"/>
      <c r="E127" s="115"/>
      <c r="P127" s="724"/>
      <c r="Q127" s="724"/>
      <c r="T127" s="323"/>
      <c r="AC127" s="724"/>
      <c r="AD127" s="724"/>
      <c r="AE127" s="322"/>
      <c r="AP127" s="735">
        <f>ROUND(SUM(P127:AE127),0)</f>
        <v>0</v>
      </c>
      <c r="AQ127" s="735"/>
      <c r="AS127" s="506"/>
      <c r="AU127" s="507"/>
    </row>
    <row r="128" spans="1:47" x14ac:dyDescent="0.3">
      <c r="B128" s="125"/>
      <c r="D128" s="115"/>
      <c r="E128" s="115"/>
      <c r="P128" s="724"/>
      <c r="Q128" s="724"/>
      <c r="T128" s="323"/>
      <c r="AC128" s="724"/>
      <c r="AD128" s="724"/>
      <c r="AE128" s="322"/>
      <c r="AP128" s="735">
        <f>ROUND(SUM(P128:AE128),0)</f>
        <v>0</v>
      </c>
      <c r="AQ128" s="735"/>
      <c r="AS128" s="506"/>
      <c r="AU128" s="507"/>
    </row>
    <row r="129" spans="1:47" x14ac:dyDescent="0.3">
      <c r="B129" s="125"/>
      <c r="D129" s="115"/>
      <c r="E129" s="115"/>
      <c r="P129" s="724"/>
      <c r="Q129" s="724"/>
      <c r="T129" s="323"/>
      <c r="AC129" s="724"/>
      <c r="AD129" s="724"/>
      <c r="AE129" s="322"/>
      <c r="AP129" s="735">
        <f>ROUND(SUM(P129:AE129),0)</f>
        <v>0</v>
      </c>
      <c r="AQ129" s="735"/>
      <c r="AS129" s="506"/>
      <c r="AU129" s="507"/>
    </row>
    <row r="130" spans="1:47" ht="4.5" customHeight="1" x14ac:dyDescent="0.3">
      <c r="B130" s="125"/>
      <c r="D130" s="132"/>
      <c r="E130" s="132"/>
      <c r="F130" s="296"/>
      <c r="G130" s="141"/>
      <c r="H130" s="134"/>
      <c r="I130" s="134"/>
      <c r="J130" s="134"/>
      <c r="K130" s="134"/>
      <c r="L130" s="134"/>
      <c r="M130" s="134"/>
      <c r="N130" s="134"/>
      <c r="O130" s="134"/>
      <c r="P130" s="736"/>
      <c r="Q130" s="736"/>
      <c r="R130" s="134"/>
      <c r="S130" s="134"/>
      <c r="T130" s="325"/>
      <c r="U130" s="134"/>
      <c r="V130" s="134"/>
      <c r="W130" s="134"/>
      <c r="X130" s="134"/>
      <c r="Y130" s="134"/>
      <c r="Z130" s="134"/>
      <c r="AA130" s="134"/>
      <c r="AB130" s="134"/>
      <c r="AC130" s="736"/>
      <c r="AD130" s="736"/>
      <c r="AE130" s="326"/>
      <c r="AF130" s="134"/>
      <c r="AG130" s="134"/>
      <c r="AH130" s="134"/>
      <c r="AI130" s="134"/>
      <c r="AJ130" s="134"/>
      <c r="AK130" s="134"/>
      <c r="AL130" s="134"/>
      <c r="AM130" s="134"/>
      <c r="AN130" s="134"/>
      <c r="AO130" s="134"/>
      <c r="AP130" s="736"/>
      <c r="AQ130" s="736"/>
      <c r="AS130" s="506"/>
      <c r="AU130" s="507"/>
    </row>
    <row r="131" spans="1:47" x14ac:dyDescent="0.3">
      <c r="B131" s="125"/>
      <c r="C131" s="109" t="str">
        <f>"Subtotal "&amp;C124</f>
        <v>Subtotal Travel</v>
      </c>
      <c r="D131" s="115"/>
      <c r="E131" s="115"/>
      <c r="P131" s="737">
        <f>ROUND(SUM(P125:Q130),0)</f>
        <v>0</v>
      </c>
      <c r="Q131" s="737"/>
      <c r="T131" s="323"/>
      <c r="AC131" s="737">
        <f>ROUND(SUM(AC125:AD130),0)</f>
        <v>0</v>
      </c>
      <c r="AD131" s="737"/>
      <c r="AE131" s="322"/>
      <c r="AP131" s="737">
        <f>ROUND(SUM(AP125:AQ130),0)</f>
        <v>0</v>
      </c>
      <c r="AQ131" s="737"/>
      <c r="AS131" s="506"/>
      <c r="AU131" s="507"/>
    </row>
    <row r="132" spans="1:47" ht="3.75" customHeight="1" x14ac:dyDescent="0.3">
      <c r="B132" s="125"/>
      <c r="C132" s="109"/>
      <c r="D132" s="115"/>
      <c r="E132" s="115"/>
      <c r="P132" s="108"/>
      <c r="Q132" s="108"/>
      <c r="T132" s="323"/>
      <c r="AC132" s="108"/>
      <c r="AD132" s="108"/>
      <c r="AE132" s="322"/>
      <c r="AS132" s="506"/>
      <c r="AU132" s="507"/>
    </row>
    <row r="133" spans="1:47" x14ac:dyDescent="0.3">
      <c r="A133" s="109"/>
      <c r="B133" s="131" t="s">
        <v>816</v>
      </c>
      <c r="C133" s="109" t="s">
        <v>714</v>
      </c>
      <c r="D133" s="115"/>
      <c r="E133" s="115"/>
      <c r="T133" s="323"/>
      <c r="AE133" s="322"/>
      <c r="AP133" s="107"/>
      <c r="AQ133" s="107"/>
      <c r="AS133" s="506"/>
      <c r="AU133" s="507"/>
    </row>
    <row r="134" spans="1:47" x14ac:dyDescent="0.3">
      <c r="B134" s="125"/>
      <c r="D134" s="115"/>
      <c r="E134" s="115"/>
      <c r="P134" s="724"/>
      <c r="Q134" s="724"/>
      <c r="T134" s="323"/>
      <c r="AC134" s="724"/>
      <c r="AD134" s="724"/>
      <c r="AE134" s="322"/>
      <c r="AP134" s="735">
        <f>ROUND(SUM(P134:AE134),0)</f>
        <v>0</v>
      </c>
      <c r="AQ134" s="735"/>
      <c r="AS134" s="506"/>
      <c r="AU134" s="507"/>
    </row>
    <row r="135" spans="1:47" x14ac:dyDescent="0.3">
      <c r="B135" s="125"/>
      <c r="D135" s="115"/>
      <c r="E135" s="115"/>
      <c r="P135" s="724"/>
      <c r="Q135" s="724"/>
      <c r="T135" s="323"/>
      <c r="AC135" s="724"/>
      <c r="AD135" s="724"/>
      <c r="AE135" s="322"/>
      <c r="AP135" s="735">
        <f>ROUND(SUM(P135:AE135),0)</f>
        <v>0</v>
      </c>
      <c r="AQ135" s="735"/>
      <c r="AS135" s="506"/>
      <c r="AU135" s="507"/>
    </row>
    <row r="136" spans="1:47" x14ac:dyDescent="0.3">
      <c r="B136" s="125"/>
      <c r="D136" s="115"/>
      <c r="E136" s="115"/>
      <c r="P136" s="724"/>
      <c r="Q136" s="724"/>
      <c r="T136" s="323"/>
      <c r="AC136" s="724"/>
      <c r="AD136" s="724"/>
      <c r="AE136" s="322"/>
      <c r="AP136" s="735">
        <f>ROUND(SUM(P136:AE136),0)</f>
        <v>0</v>
      </c>
      <c r="AQ136" s="735"/>
      <c r="AS136" s="506"/>
      <c r="AU136" s="507"/>
    </row>
    <row r="137" spans="1:47" x14ac:dyDescent="0.3">
      <c r="B137" s="125"/>
      <c r="D137" s="115"/>
      <c r="E137" s="115"/>
      <c r="P137" s="724"/>
      <c r="Q137" s="724"/>
      <c r="T137" s="323"/>
      <c r="AC137" s="724"/>
      <c r="AD137" s="724"/>
      <c r="AE137" s="322"/>
      <c r="AP137" s="735">
        <f>ROUND(SUM(P137:AE137),0)</f>
        <v>0</v>
      </c>
      <c r="AQ137" s="735"/>
      <c r="AS137" s="506"/>
      <c r="AU137" s="507"/>
    </row>
    <row r="138" spans="1:47" x14ac:dyDescent="0.3">
      <c r="B138" s="125"/>
      <c r="D138" s="115"/>
      <c r="E138" s="115"/>
      <c r="P138" s="724"/>
      <c r="Q138" s="724"/>
      <c r="T138" s="323"/>
      <c r="AC138" s="724"/>
      <c r="AD138" s="724"/>
      <c r="AE138" s="322"/>
      <c r="AP138" s="735">
        <f>ROUND(SUM(P138:AE138),0)</f>
        <v>0</v>
      </c>
      <c r="AQ138" s="735"/>
      <c r="AS138" s="506"/>
      <c r="AU138" s="507"/>
    </row>
    <row r="139" spans="1:47" ht="4.5" customHeight="1" x14ac:dyDescent="0.3">
      <c r="B139" s="125"/>
      <c r="D139" s="132"/>
      <c r="E139" s="132"/>
      <c r="F139" s="296"/>
      <c r="G139" s="141"/>
      <c r="H139" s="134"/>
      <c r="I139" s="134"/>
      <c r="J139" s="134"/>
      <c r="K139" s="134"/>
      <c r="L139" s="134"/>
      <c r="M139" s="134"/>
      <c r="N139" s="134"/>
      <c r="O139" s="134"/>
      <c r="P139" s="736"/>
      <c r="Q139" s="736"/>
      <c r="R139" s="134"/>
      <c r="S139" s="134"/>
      <c r="T139" s="325"/>
      <c r="U139" s="134"/>
      <c r="V139" s="134"/>
      <c r="W139" s="134"/>
      <c r="X139" s="134"/>
      <c r="Y139" s="134"/>
      <c r="Z139" s="134"/>
      <c r="AA139" s="134"/>
      <c r="AB139" s="134"/>
      <c r="AC139" s="736"/>
      <c r="AD139" s="736"/>
      <c r="AE139" s="326"/>
      <c r="AF139" s="134"/>
      <c r="AG139" s="134"/>
      <c r="AH139" s="134"/>
      <c r="AI139" s="134"/>
      <c r="AJ139" s="134"/>
      <c r="AK139" s="134"/>
      <c r="AL139" s="134"/>
      <c r="AM139" s="134"/>
      <c r="AN139" s="134"/>
      <c r="AO139" s="134"/>
      <c r="AP139" s="736"/>
      <c r="AQ139" s="736"/>
      <c r="AS139" s="506"/>
      <c r="AU139" s="507"/>
    </row>
    <row r="140" spans="1:47" x14ac:dyDescent="0.3">
      <c r="B140" s="125"/>
      <c r="C140" s="109" t="str">
        <f>"Subtotal "&amp;C133</f>
        <v>Subtotal Subsistence</v>
      </c>
      <c r="D140" s="115"/>
      <c r="E140" s="115"/>
      <c r="P140" s="737">
        <f>ROUND(SUM(P134:Q139),0)</f>
        <v>0</v>
      </c>
      <c r="Q140" s="737"/>
      <c r="T140" s="323"/>
      <c r="AC140" s="737">
        <f>ROUND(SUM(AC134:AD139),0)</f>
        <v>0</v>
      </c>
      <c r="AD140" s="737"/>
      <c r="AE140" s="322"/>
      <c r="AP140" s="737">
        <f>ROUND(SUM(AP134:AQ139),0)</f>
        <v>0</v>
      </c>
      <c r="AQ140" s="737"/>
      <c r="AS140" s="506"/>
      <c r="AU140" s="507"/>
    </row>
    <row r="141" spans="1:47" ht="9" customHeight="1" x14ac:dyDescent="0.3">
      <c r="B141" s="125"/>
      <c r="C141" s="109"/>
      <c r="D141" s="115"/>
      <c r="E141" s="115"/>
      <c r="P141" s="108"/>
      <c r="Q141" s="108"/>
      <c r="T141" s="323"/>
      <c r="AC141" s="108"/>
      <c r="AD141" s="108"/>
      <c r="AE141" s="322"/>
      <c r="AS141" s="506"/>
      <c r="AU141" s="507"/>
    </row>
    <row r="142" spans="1:47" x14ac:dyDescent="0.3">
      <c r="A142" s="109"/>
      <c r="B142" s="131" t="s">
        <v>817</v>
      </c>
      <c r="C142" s="109" t="s">
        <v>679</v>
      </c>
      <c r="D142" s="115"/>
      <c r="E142" s="115"/>
      <c r="T142" s="323"/>
      <c r="AE142" s="322"/>
      <c r="AP142" s="107"/>
      <c r="AQ142" s="107"/>
      <c r="AS142" s="506"/>
      <c r="AU142" s="507"/>
    </row>
    <row r="143" spans="1:47" x14ac:dyDescent="0.3">
      <c r="B143" s="125"/>
      <c r="D143" s="115"/>
      <c r="E143" s="115"/>
      <c r="P143" s="724"/>
      <c r="Q143" s="724"/>
      <c r="T143" s="323"/>
      <c r="AC143" s="724"/>
      <c r="AD143" s="724"/>
      <c r="AE143" s="322"/>
      <c r="AP143" s="735">
        <f>ROUND(SUM(P143:AE143),0)</f>
        <v>0</v>
      </c>
      <c r="AQ143" s="735"/>
      <c r="AS143" s="506"/>
      <c r="AU143" s="507"/>
    </row>
    <row r="144" spans="1:47" x14ac:dyDescent="0.3">
      <c r="B144" s="125"/>
      <c r="D144" s="115"/>
      <c r="E144" s="115"/>
      <c r="P144" s="724"/>
      <c r="Q144" s="724"/>
      <c r="T144" s="323"/>
      <c r="AC144" s="724"/>
      <c r="AD144" s="724"/>
      <c r="AE144" s="322"/>
      <c r="AP144" s="735">
        <f>ROUND(SUM(P144:AE144),0)</f>
        <v>0</v>
      </c>
      <c r="AQ144" s="735"/>
      <c r="AS144" s="506"/>
      <c r="AU144" s="507"/>
    </row>
    <row r="145" spans="1:47" x14ac:dyDescent="0.3">
      <c r="B145" s="125"/>
      <c r="D145" s="115"/>
      <c r="E145" s="115"/>
      <c r="P145" s="724"/>
      <c r="Q145" s="724"/>
      <c r="T145" s="323"/>
      <c r="AC145" s="724"/>
      <c r="AD145" s="724"/>
      <c r="AE145" s="322"/>
      <c r="AP145" s="735">
        <f>ROUND(SUM(P145:AE145),0)</f>
        <v>0</v>
      </c>
      <c r="AQ145" s="735"/>
      <c r="AS145" s="506"/>
      <c r="AU145" s="507"/>
    </row>
    <row r="146" spans="1:47" x14ac:dyDescent="0.3">
      <c r="B146" s="125"/>
      <c r="D146" s="115"/>
      <c r="E146" s="115"/>
      <c r="P146" s="724"/>
      <c r="Q146" s="724"/>
      <c r="T146" s="323"/>
      <c r="AC146" s="724"/>
      <c r="AD146" s="724"/>
      <c r="AE146" s="322"/>
      <c r="AP146" s="735">
        <f>ROUND(SUM(P146:AE146),0)</f>
        <v>0</v>
      </c>
      <c r="AQ146" s="735"/>
      <c r="AS146" s="506"/>
      <c r="AU146" s="507"/>
    </row>
    <row r="147" spans="1:47" x14ac:dyDescent="0.3">
      <c r="B147" s="125"/>
      <c r="D147" s="115"/>
      <c r="E147" s="115"/>
      <c r="P147" s="724"/>
      <c r="Q147" s="724"/>
      <c r="T147" s="323"/>
      <c r="AC147" s="724"/>
      <c r="AD147" s="724"/>
      <c r="AE147" s="322"/>
      <c r="AP147" s="735">
        <f>ROUND(SUM(P147:AE147),0)</f>
        <v>0</v>
      </c>
      <c r="AQ147" s="735"/>
      <c r="AS147" s="506"/>
      <c r="AU147" s="507"/>
    </row>
    <row r="148" spans="1:47" ht="4.5" customHeight="1" x14ac:dyDescent="0.3">
      <c r="B148" s="125"/>
      <c r="D148" s="132"/>
      <c r="E148" s="132"/>
      <c r="F148" s="296"/>
      <c r="G148" s="141"/>
      <c r="H148" s="134"/>
      <c r="I148" s="134"/>
      <c r="J148" s="134"/>
      <c r="K148" s="134"/>
      <c r="L148" s="134"/>
      <c r="M148" s="134"/>
      <c r="N148" s="134"/>
      <c r="O148" s="134"/>
      <c r="P148" s="736"/>
      <c r="Q148" s="736"/>
      <c r="R148" s="134"/>
      <c r="S148" s="134"/>
      <c r="T148" s="325"/>
      <c r="U148" s="134"/>
      <c r="V148" s="134"/>
      <c r="W148" s="134"/>
      <c r="X148" s="134"/>
      <c r="Y148" s="134"/>
      <c r="Z148" s="134"/>
      <c r="AA148" s="134"/>
      <c r="AB148" s="134"/>
      <c r="AC148" s="736"/>
      <c r="AD148" s="736"/>
      <c r="AE148" s="326"/>
      <c r="AF148" s="134"/>
      <c r="AG148" s="134"/>
      <c r="AH148" s="134"/>
      <c r="AI148" s="134"/>
      <c r="AJ148" s="134"/>
      <c r="AK148" s="134"/>
      <c r="AL148" s="134"/>
      <c r="AM148" s="134"/>
      <c r="AN148" s="134"/>
      <c r="AO148" s="134"/>
      <c r="AP148" s="736"/>
      <c r="AQ148" s="736"/>
      <c r="AS148" s="506"/>
      <c r="AU148" s="507"/>
    </row>
    <row r="149" spans="1:47" x14ac:dyDescent="0.3">
      <c r="B149" s="125"/>
      <c r="C149" s="109" t="str">
        <f>"Subtotal "&amp;C142</f>
        <v>Subtotal Other</v>
      </c>
      <c r="D149" s="115"/>
      <c r="E149" s="115"/>
      <c r="P149" s="737">
        <f>ROUND(SUM(P143:Q148),0)</f>
        <v>0</v>
      </c>
      <c r="Q149" s="737"/>
      <c r="T149" s="323"/>
      <c r="AC149" s="737">
        <f>ROUND(SUM(AC143:AD148),0)</f>
        <v>0</v>
      </c>
      <c r="AD149" s="737"/>
      <c r="AE149" s="322"/>
      <c r="AP149" s="737">
        <f>ROUND(SUM(AP143:AQ148),0)</f>
        <v>0</v>
      </c>
      <c r="AQ149" s="737"/>
      <c r="AS149" s="506"/>
      <c r="AU149" s="507"/>
    </row>
    <row r="150" spans="1:47" ht="3" customHeight="1" x14ac:dyDescent="0.3">
      <c r="B150" s="134"/>
      <c r="C150" s="134"/>
      <c r="D150" s="134"/>
      <c r="E150" s="134"/>
      <c r="F150" s="296"/>
      <c r="G150" s="134"/>
      <c r="H150" s="134"/>
      <c r="I150" s="134"/>
      <c r="J150" s="134"/>
      <c r="K150" s="134"/>
      <c r="L150" s="134"/>
      <c r="M150" s="134"/>
      <c r="N150" s="134"/>
      <c r="O150" s="134"/>
      <c r="P150" s="736"/>
      <c r="Q150" s="736"/>
      <c r="R150" s="134"/>
      <c r="S150" s="134"/>
      <c r="T150" s="325"/>
      <c r="U150" s="134"/>
      <c r="V150" s="134"/>
      <c r="W150" s="134"/>
      <c r="X150" s="134"/>
      <c r="Y150" s="134"/>
      <c r="Z150" s="134"/>
      <c r="AA150" s="134"/>
      <c r="AB150" s="134"/>
      <c r="AC150" s="736"/>
      <c r="AD150" s="736"/>
      <c r="AE150" s="326"/>
      <c r="AF150" s="134"/>
      <c r="AG150" s="134"/>
      <c r="AH150" s="134"/>
      <c r="AI150" s="134"/>
      <c r="AJ150" s="134"/>
      <c r="AK150" s="134"/>
      <c r="AL150" s="134"/>
      <c r="AM150" s="134"/>
      <c r="AN150" s="134"/>
      <c r="AO150" s="134"/>
      <c r="AP150" s="736"/>
      <c r="AQ150" s="736"/>
      <c r="AS150" s="506"/>
      <c r="AU150" s="507"/>
    </row>
    <row r="151" spans="1:47" x14ac:dyDescent="0.3">
      <c r="B151" s="158" t="str">
        <f>CONCATENATE("TOTAL ",B105)</f>
        <v>TOTAL PARTICIPANT/TRAINEE SUPPORT COSTS</v>
      </c>
      <c r="C151" s="159"/>
      <c r="D151" s="170"/>
      <c r="E151" s="170"/>
      <c r="F151" s="298"/>
      <c r="G151" s="312"/>
      <c r="H151" s="159"/>
      <c r="I151" s="159"/>
      <c r="J151" s="159"/>
      <c r="K151" s="159"/>
      <c r="L151" s="159"/>
      <c r="M151" s="159"/>
      <c r="N151" s="159"/>
      <c r="O151" s="159"/>
      <c r="P151" s="738">
        <f>ROUND(P113+P122+P131+P140+P149,0)</f>
        <v>0</v>
      </c>
      <c r="Q151" s="738"/>
      <c r="R151" s="159"/>
      <c r="S151" s="159"/>
      <c r="T151" s="327"/>
      <c r="U151" s="159"/>
      <c r="V151" s="159"/>
      <c r="W151" s="159"/>
      <c r="X151" s="159"/>
      <c r="Y151" s="159"/>
      <c r="Z151" s="159"/>
      <c r="AA151" s="159"/>
      <c r="AB151" s="159"/>
      <c r="AC151" s="727">
        <f>ROUND(AC113+AC122+AC131+AC140+AC149,0)</f>
        <v>0</v>
      </c>
      <c r="AD151" s="727"/>
      <c r="AE151" s="328"/>
      <c r="AF151" s="159"/>
      <c r="AG151" s="159"/>
      <c r="AH151" s="159"/>
      <c r="AI151" s="159"/>
      <c r="AJ151" s="159"/>
      <c r="AK151" s="159"/>
      <c r="AL151" s="159"/>
      <c r="AM151" s="159"/>
      <c r="AN151" s="159"/>
      <c r="AO151" s="159"/>
      <c r="AP151" s="732">
        <f>ROUND(SUM(AP105:AQ150),0)</f>
        <v>0</v>
      </c>
      <c r="AQ151" s="732"/>
      <c r="AS151" s="506">
        <f>P151</f>
        <v>0</v>
      </c>
      <c r="AU151" s="507">
        <f>AC151</f>
        <v>0</v>
      </c>
    </row>
    <row r="152" spans="1:47" ht="3" customHeight="1" x14ac:dyDescent="0.3">
      <c r="D152" s="115"/>
      <c r="E152" s="115"/>
      <c r="T152" s="323"/>
      <c r="AE152" s="322"/>
      <c r="AP152" s="107"/>
      <c r="AQ152" s="107"/>
      <c r="AS152" s="506"/>
      <c r="AU152" s="507"/>
    </row>
    <row r="153" spans="1:47" x14ac:dyDescent="0.3">
      <c r="A153" s="109" t="s">
        <v>674</v>
      </c>
      <c r="B153" s="109" t="s">
        <v>777</v>
      </c>
      <c r="C153" s="109"/>
      <c r="D153" s="115"/>
      <c r="E153" s="115"/>
      <c r="T153" s="323"/>
      <c r="AE153" s="322"/>
      <c r="AP153" s="107"/>
      <c r="AQ153" s="107"/>
      <c r="AS153" s="506"/>
      <c r="AU153" s="507"/>
    </row>
    <row r="154" spans="1:47" x14ac:dyDescent="0.3">
      <c r="A154" s="109"/>
      <c r="B154" s="131" t="s">
        <v>802</v>
      </c>
      <c r="C154" s="109" t="s">
        <v>720</v>
      </c>
      <c r="D154" s="115"/>
      <c r="E154" s="115"/>
      <c r="T154" s="323"/>
      <c r="AE154" s="322"/>
      <c r="AP154" s="107"/>
      <c r="AQ154" s="107"/>
      <c r="AS154" s="506"/>
      <c r="AU154" s="507"/>
    </row>
    <row r="155" spans="1:47" x14ac:dyDescent="0.3">
      <c r="B155" s="125"/>
      <c r="E155" s="115"/>
      <c r="P155" s="724"/>
      <c r="Q155" s="724"/>
      <c r="T155" s="323"/>
      <c r="AC155" s="724"/>
      <c r="AD155" s="724"/>
      <c r="AE155" s="322"/>
      <c r="AP155" s="735">
        <f>ROUND(SUM(P155:AE155),0)</f>
        <v>0</v>
      </c>
      <c r="AQ155" s="735"/>
      <c r="AS155" s="506"/>
      <c r="AU155" s="507"/>
    </row>
    <row r="156" spans="1:47" x14ac:dyDescent="0.3">
      <c r="B156" s="125"/>
      <c r="C156" s="278"/>
      <c r="E156" s="115"/>
      <c r="P156" s="724"/>
      <c r="Q156" s="724"/>
      <c r="T156" s="323"/>
      <c r="AC156" s="724"/>
      <c r="AD156" s="724"/>
      <c r="AE156" s="322"/>
      <c r="AP156" s="735">
        <f>ROUND(SUM(P156:AE156),0)</f>
        <v>0</v>
      </c>
      <c r="AQ156" s="735"/>
      <c r="AS156" s="506"/>
      <c r="AU156" s="507"/>
    </row>
    <row r="157" spans="1:47" x14ac:dyDescent="0.3">
      <c r="B157" s="125"/>
      <c r="C157" s="278"/>
      <c r="E157" s="115"/>
      <c r="P157" s="724"/>
      <c r="Q157" s="724"/>
      <c r="T157" s="323"/>
      <c r="AE157" s="322"/>
      <c r="AP157" s="605"/>
      <c r="AQ157" s="605"/>
      <c r="AS157" s="506"/>
      <c r="AU157" s="507"/>
    </row>
    <row r="158" spans="1:47" x14ac:dyDescent="0.3">
      <c r="B158" s="125"/>
      <c r="C158" s="278"/>
      <c r="E158" s="115"/>
      <c r="P158" s="724"/>
      <c r="Q158" s="724"/>
      <c r="T158" s="323"/>
      <c r="AE158" s="322"/>
      <c r="AP158" s="605"/>
      <c r="AQ158" s="605"/>
      <c r="AS158" s="506"/>
      <c r="AU158" s="507"/>
    </row>
    <row r="159" spans="1:47" x14ac:dyDescent="0.3">
      <c r="B159" s="125"/>
      <c r="C159" s="278"/>
      <c r="E159" s="115"/>
      <c r="P159" s="724"/>
      <c r="Q159" s="724"/>
      <c r="T159" s="323"/>
      <c r="AE159" s="322"/>
      <c r="AP159" s="605"/>
      <c r="AQ159" s="605"/>
      <c r="AS159" s="506"/>
      <c r="AU159" s="507"/>
    </row>
    <row r="160" spans="1:47" x14ac:dyDescent="0.3">
      <c r="B160" s="125"/>
      <c r="C160" s="278"/>
      <c r="E160" s="115"/>
      <c r="P160" s="724"/>
      <c r="Q160" s="724"/>
      <c r="T160" s="323"/>
      <c r="AE160" s="322"/>
      <c r="AP160" s="605"/>
      <c r="AQ160" s="605"/>
      <c r="AS160" s="506"/>
      <c r="AU160" s="507"/>
    </row>
    <row r="161" spans="1:47" x14ac:dyDescent="0.3">
      <c r="B161" s="125"/>
      <c r="C161" s="278"/>
      <c r="E161" s="115"/>
      <c r="P161" s="724"/>
      <c r="Q161" s="724"/>
      <c r="T161" s="323"/>
      <c r="AE161" s="322"/>
      <c r="AP161" s="605"/>
      <c r="AQ161" s="605"/>
      <c r="AS161" s="506"/>
      <c r="AU161" s="507"/>
    </row>
    <row r="162" spans="1:47" hidden="1" x14ac:dyDescent="0.3">
      <c r="B162" s="125"/>
      <c r="C162" s="113"/>
      <c r="E162" s="115"/>
      <c r="P162" s="724"/>
      <c r="Q162" s="724"/>
      <c r="T162" s="323"/>
      <c r="AC162" s="724"/>
      <c r="AD162" s="724"/>
      <c r="AE162" s="322"/>
      <c r="AP162" s="735">
        <f>ROUND(SUM(P162:AE162),0)</f>
        <v>0</v>
      </c>
      <c r="AQ162" s="735"/>
      <c r="AS162" s="506"/>
      <c r="AU162" s="507"/>
    </row>
    <row r="163" spans="1:47" hidden="1" x14ac:dyDescent="0.3">
      <c r="B163" s="125"/>
      <c r="D163" s="115"/>
      <c r="E163" s="115"/>
      <c r="P163" s="724"/>
      <c r="Q163" s="724"/>
      <c r="T163" s="323"/>
      <c r="AC163" s="724"/>
      <c r="AD163" s="724"/>
      <c r="AE163" s="322"/>
      <c r="AP163" s="735">
        <f>ROUND(SUM(P163:AE163),0)</f>
        <v>0</v>
      </c>
      <c r="AQ163" s="735"/>
      <c r="AS163" s="506"/>
      <c r="AU163" s="507"/>
    </row>
    <row r="164" spans="1:47" hidden="1" x14ac:dyDescent="0.3">
      <c r="B164" s="125"/>
      <c r="D164" s="115"/>
      <c r="E164" s="115"/>
      <c r="P164" s="724"/>
      <c r="Q164" s="724"/>
      <c r="T164" s="323"/>
      <c r="AC164" s="724"/>
      <c r="AD164" s="724"/>
      <c r="AE164" s="322"/>
      <c r="AP164" s="735">
        <f>ROUND(SUM(P164:AE164),0)</f>
        <v>0</v>
      </c>
      <c r="AQ164" s="735"/>
      <c r="AS164" s="506"/>
      <c r="AU164" s="507"/>
    </row>
    <row r="165" spans="1:47" ht="3" customHeight="1" x14ac:dyDescent="0.3">
      <c r="B165" s="125"/>
      <c r="D165" s="132"/>
      <c r="E165" s="132"/>
      <c r="F165" s="296"/>
      <c r="G165" s="141"/>
      <c r="H165" s="134"/>
      <c r="I165" s="134"/>
      <c r="J165" s="134"/>
      <c r="K165" s="134"/>
      <c r="L165" s="134"/>
      <c r="M165" s="134"/>
      <c r="N165" s="134"/>
      <c r="O165" s="134"/>
      <c r="P165" s="736"/>
      <c r="Q165" s="736"/>
      <c r="R165" s="134"/>
      <c r="S165" s="134"/>
      <c r="T165" s="325"/>
      <c r="U165" s="134"/>
      <c r="V165" s="134"/>
      <c r="W165" s="134"/>
      <c r="X165" s="134"/>
      <c r="Y165" s="134"/>
      <c r="Z165" s="134"/>
      <c r="AA165" s="134"/>
      <c r="AB165" s="134"/>
      <c r="AC165" s="736"/>
      <c r="AD165" s="736"/>
      <c r="AE165" s="326"/>
      <c r="AF165" s="134"/>
      <c r="AG165" s="134"/>
      <c r="AH165" s="134"/>
      <c r="AI165" s="134"/>
      <c r="AJ165" s="134"/>
      <c r="AK165" s="134"/>
      <c r="AL165" s="134"/>
      <c r="AM165" s="134"/>
      <c r="AN165" s="134"/>
      <c r="AO165" s="134"/>
      <c r="AP165" s="736"/>
      <c r="AQ165" s="736"/>
      <c r="AS165" s="506"/>
      <c r="AU165" s="507"/>
    </row>
    <row r="166" spans="1:47" x14ac:dyDescent="0.3">
      <c r="B166" s="125"/>
      <c r="C166" s="109" t="str">
        <f>"Subtotal "&amp;C154</f>
        <v>Subtotal Materials &amp; Supplies</v>
      </c>
      <c r="D166" s="115"/>
      <c r="E166" s="115"/>
      <c r="P166" s="737">
        <f>ROUND(SUM(P155:Q165),0)</f>
        <v>0</v>
      </c>
      <c r="Q166" s="737"/>
      <c r="T166" s="323"/>
      <c r="AC166" s="737">
        <f>ROUND(SUM(AC155:AD165),0)</f>
        <v>0</v>
      </c>
      <c r="AD166" s="737"/>
      <c r="AE166" s="322"/>
      <c r="AP166" s="737">
        <f>ROUND(SUM(AP155:AQ165),0)</f>
        <v>0</v>
      </c>
      <c r="AQ166" s="737"/>
      <c r="AS166" s="506"/>
      <c r="AU166" s="507"/>
    </row>
    <row r="167" spans="1:47" ht="3" customHeight="1" x14ac:dyDescent="0.3">
      <c r="B167" s="125"/>
      <c r="C167" s="109"/>
      <c r="D167" s="115"/>
      <c r="E167" s="115"/>
      <c r="P167" s="108"/>
      <c r="Q167" s="108"/>
      <c r="T167" s="323"/>
      <c r="AC167" s="108"/>
      <c r="AD167" s="108"/>
      <c r="AE167" s="322"/>
      <c r="AS167" s="506"/>
      <c r="AU167" s="507"/>
    </row>
    <row r="168" spans="1:47" x14ac:dyDescent="0.3">
      <c r="A168" s="109"/>
      <c r="B168" s="131" t="s">
        <v>811</v>
      </c>
      <c r="C168" s="109" t="s">
        <v>818</v>
      </c>
      <c r="D168" s="115"/>
      <c r="E168" s="115"/>
      <c r="T168" s="323"/>
      <c r="AE168" s="322"/>
      <c r="AP168" s="107"/>
      <c r="AQ168" s="107"/>
      <c r="AS168" s="506"/>
      <c r="AU168" s="507"/>
    </row>
    <row r="169" spans="1:47" x14ac:dyDescent="0.3">
      <c r="B169" s="125"/>
      <c r="D169" s="115" t="s">
        <v>819</v>
      </c>
      <c r="E169" s="115"/>
      <c r="P169" s="724"/>
      <c r="Q169" s="724"/>
      <c r="T169" s="323"/>
      <c r="AC169" s="724"/>
      <c r="AD169" s="724"/>
      <c r="AE169" s="322"/>
      <c r="AP169" s="735">
        <f>ROUND(SUM(P169:AE169),0)</f>
        <v>0</v>
      </c>
      <c r="AQ169" s="735"/>
      <c r="AS169" s="506"/>
      <c r="AU169" s="507"/>
    </row>
    <row r="170" spans="1:47" x14ac:dyDescent="0.3">
      <c r="B170" s="125"/>
      <c r="D170" s="115"/>
      <c r="E170" s="115"/>
      <c r="P170" s="724"/>
      <c r="Q170" s="724"/>
      <c r="T170" s="323"/>
      <c r="AC170" s="724"/>
      <c r="AD170" s="724"/>
      <c r="AE170" s="322"/>
      <c r="AP170" s="735">
        <f>ROUND(SUM(P170:AE170),0)</f>
        <v>0</v>
      </c>
      <c r="AQ170" s="735"/>
      <c r="AS170" s="506"/>
      <c r="AU170" s="507"/>
    </row>
    <row r="171" spans="1:47" x14ac:dyDescent="0.3">
      <c r="B171" s="125"/>
      <c r="D171" s="115"/>
      <c r="E171" s="115"/>
      <c r="P171" s="724"/>
      <c r="Q171" s="724"/>
      <c r="T171" s="323"/>
      <c r="AC171" s="724"/>
      <c r="AD171" s="724"/>
      <c r="AE171" s="322"/>
      <c r="AP171" s="735">
        <f>ROUND(SUM(P171:AE171),0)</f>
        <v>0</v>
      </c>
      <c r="AQ171" s="735"/>
      <c r="AS171" s="506"/>
      <c r="AU171" s="507"/>
    </row>
    <row r="172" spans="1:47" x14ac:dyDescent="0.3">
      <c r="B172" s="125"/>
      <c r="D172" s="115"/>
      <c r="E172" s="115"/>
      <c r="P172" s="724"/>
      <c r="Q172" s="724"/>
      <c r="T172" s="323"/>
      <c r="AC172" s="724"/>
      <c r="AD172" s="724"/>
      <c r="AE172" s="322"/>
      <c r="AP172" s="735">
        <f>ROUND(SUM(P172:AE172),0)</f>
        <v>0</v>
      </c>
      <c r="AQ172" s="735"/>
      <c r="AS172" s="506"/>
      <c r="AU172" s="507"/>
    </row>
    <row r="173" spans="1:47" x14ac:dyDescent="0.3">
      <c r="B173" s="125"/>
      <c r="D173" s="115"/>
      <c r="E173" s="115"/>
      <c r="P173" s="724"/>
      <c r="Q173" s="724"/>
      <c r="T173" s="323"/>
      <c r="AC173" s="724"/>
      <c r="AD173" s="724"/>
      <c r="AE173" s="322"/>
      <c r="AP173" s="735">
        <f>ROUND(SUM(P173:AE173),0)</f>
        <v>0</v>
      </c>
      <c r="AQ173" s="735"/>
      <c r="AS173" s="506"/>
      <c r="AU173" s="507"/>
    </row>
    <row r="174" spans="1:47" ht="3" customHeight="1" x14ac:dyDescent="0.3">
      <c r="B174" s="125"/>
      <c r="D174" s="132"/>
      <c r="E174" s="132"/>
      <c r="F174" s="296"/>
      <c r="G174" s="141"/>
      <c r="H174" s="134"/>
      <c r="I174" s="134"/>
      <c r="J174" s="134"/>
      <c r="K174" s="134"/>
      <c r="L174" s="134"/>
      <c r="M174" s="134"/>
      <c r="N174" s="134"/>
      <c r="O174" s="134"/>
      <c r="P174" s="736"/>
      <c r="Q174" s="736"/>
      <c r="R174" s="134"/>
      <c r="S174" s="134"/>
      <c r="T174" s="325"/>
      <c r="U174" s="134"/>
      <c r="V174" s="134"/>
      <c r="W174" s="134"/>
      <c r="X174" s="134"/>
      <c r="Y174" s="134"/>
      <c r="Z174" s="134"/>
      <c r="AA174" s="134"/>
      <c r="AB174" s="134"/>
      <c r="AC174" s="736"/>
      <c r="AD174" s="736"/>
      <c r="AE174" s="326"/>
      <c r="AF174" s="134"/>
      <c r="AG174" s="134"/>
      <c r="AH174" s="134"/>
      <c r="AI174" s="134"/>
      <c r="AJ174" s="134"/>
      <c r="AK174" s="134"/>
      <c r="AL174" s="134"/>
      <c r="AM174" s="134"/>
      <c r="AN174" s="134"/>
      <c r="AO174" s="134"/>
      <c r="AP174" s="736"/>
      <c r="AQ174" s="736"/>
      <c r="AS174" s="506"/>
      <c r="AU174" s="507"/>
    </row>
    <row r="175" spans="1:47" x14ac:dyDescent="0.3">
      <c r="B175" s="125"/>
      <c r="C175" s="109" t="str">
        <f>"Subtotal "&amp;C168</f>
        <v>Subtotal Publications</v>
      </c>
      <c r="D175" s="115"/>
      <c r="E175" s="115"/>
      <c r="P175" s="737">
        <f>ROUND(SUM(P169:Q174),0)</f>
        <v>0</v>
      </c>
      <c r="Q175" s="737"/>
      <c r="T175" s="323"/>
      <c r="AC175" s="737">
        <f>ROUND(SUM(AC169:AD174),0)</f>
        <v>0</v>
      </c>
      <c r="AD175" s="737"/>
      <c r="AE175" s="322"/>
      <c r="AP175" s="737">
        <f>ROUND(SUM(AP169:AQ174),0)</f>
        <v>0</v>
      </c>
      <c r="AQ175" s="737"/>
      <c r="AS175" s="506"/>
      <c r="AU175" s="507"/>
    </row>
    <row r="176" spans="1:47" ht="3" customHeight="1" x14ac:dyDescent="0.3">
      <c r="B176" s="125"/>
      <c r="C176" s="109"/>
      <c r="D176" s="115"/>
      <c r="E176" s="115"/>
      <c r="P176" s="108"/>
      <c r="Q176" s="108"/>
      <c r="T176" s="323"/>
      <c r="AC176" s="108"/>
      <c r="AD176" s="108"/>
      <c r="AE176" s="322"/>
      <c r="AS176" s="506"/>
      <c r="AU176" s="507"/>
    </row>
    <row r="177" spans="1:47" x14ac:dyDescent="0.3">
      <c r="A177" s="109"/>
      <c r="B177" s="131" t="s">
        <v>815</v>
      </c>
      <c r="C177" s="109" t="s">
        <v>820</v>
      </c>
      <c r="D177" s="115"/>
      <c r="E177" s="115"/>
      <c r="T177" s="323"/>
      <c r="AE177" s="322"/>
      <c r="AP177" s="107"/>
      <c r="AQ177" s="107"/>
      <c r="AS177" s="506"/>
      <c r="AU177" s="507"/>
    </row>
    <row r="178" spans="1:47" x14ac:dyDescent="0.3">
      <c r="B178" s="125"/>
      <c r="D178" s="115"/>
      <c r="E178" s="115"/>
      <c r="P178" s="724"/>
      <c r="Q178" s="724"/>
      <c r="T178" s="323"/>
      <c r="AC178" s="724"/>
      <c r="AD178" s="724"/>
      <c r="AE178" s="322"/>
      <c r="AP178" s="735">
        <f>ROUND(SUM(P178:AE178),0)</f>
        <v>0</v>
      </c>
      <c r="AQ178" s="735"/>
      <c r="AS178" s="506"/>
      <c r="AU178" s="507"/>
    </row>
    <row r="179" spans="1:47" x14ac:dyDescent="0.3">
      <c r="B179" s="125"/>
      <c r="D179" s="115"/>
      <c r="E179" s="115"/>
      <c r="P179" s="724"/>
      <c r="Q179" s="724"/>
      <c r="T179" s="323"/>
      <c r="AC179" s="724"/>
      <c r="AD179" s="724"/>
      <c r="AE179" s="322"/>
      <c r="AP179" s="735">
        <f>ROUND(SUM(P179:AE179),0)</f>
        <v>0</v>
      </c>
      <c r="AQ179" s="735"/>
      <c r="AS179" s="506"/>
      <c r="AU179" s="507"/>
    </row>
    <row r="180" spans="1:47" x14ac:dyDescent="0.3">
      <c r="B180" s="125"/>
      <c r="D180" s="115"/>
      <c r="E180" s="115"/>
      <c r="P180" s="724"/>
      <c r="Q180" s="724"/>
      <c r="T180" s="323"/>
      <c r="AC180" s="724"/>
      <c r="AD180" s="724"/>
      <c r="AE180" s="322"/>
      <c r="AP180" s="735">
        <f>ROUND(SUM(P180:AE180),0)</f>
        <v>0</v>
      </c>
      <c r="AQ180" s="735"/>
      <c r="AS180" s="506"/>
      <c r="AU180" s="507"/>
    </row>
    <row r="181" spans="1:47" x14ac:dyDescent="0.3">
      <c r="B181" s="125"/>
      <c r="D181" s="115"/>
      <c r="E181" s="115"/>
      <c r="P181" s="724"/>
      <c r="Q181" s="724"/>
      <c r="T181" s="323"/>
      <c r="AC181" s="724"/>
      <c r="AD181" s="724"/>
      <c r="AE181" s="322"/>
      <c r="AP181" s="735">
        <f>ROUND(SUM(P181:AE181),0)</f>
        <v>0</v>
      </c>
      <c r="AQ181" s="735"/>
      <c r="AS181" s="506"/>
      <c r="AU181" s="507"/>
    </row>
    <row r="182" spans="1:47" x14ac:dyDescent="0.3">
      <c r="B182" s="125"/>
      <c r="D182" s="115"/>
      <c r="E182" s="115"/>
      <c r="P182" s="724"/>
      <c r="Q182" s="724"/>
      <c r="T182" s="323"/>
      <c r="AC182" s="724"/>
      <c r="AD182" s="724"/>
      <c r="AE182" s="322"/>
      <c r="AP182" s="735">
        <f>ROUND(SUM(P182:AE182),0)</f>
        <v>0</v>
      </c>
      <c r="AQ182" s="735"/>
      <c r="AS182" s="506"/>
      <c r="AU182" s="507"/>
    </row>
    <row r="183" spans="1:47" ht="3" customHeight="1" x14ac:dyDescent="0.3">
      <c r="B183" s="125"/>
      <c r="D183" s="132"/>
      <c r="E183" s="132"/>
      <c r="F183" s="296"/>
      <c r="G183" s="141"/>
      <c r="H183" s="134"/>
      <c r="I183" s="134"/>
      <c r="J183" s="134"/>
      <c r="K183" s="134"/>
      <c r="L183" s="134"/>
      <c r="M183" s="134"/>
      <c r="N183" s="134"/>
      <c r="O183" s="134"/>
      <c r="P183" s="736"/>
      <c r="Q183" s="736"/>
      <c r="R183" s="134"/>
      <c r="S183" s="134"/>
      <c r="T183" s="325"/>
      <c r="U183" s="134"/>
      <c r="V183" s="134"/>
      <c r="W183" s="134"/>
      <c r="X183" s="134"/>
      <c r="Y183" s="134"/>
      <c r="Z183" s="134"/>
      <c r="AA183" s="134"/>
      <c r="AB183" s="134"/>
      <c r="AC183" s="736"/>
      <c r="AD183" s="736"/>
      <c r="AE183" s="326"/>
      <c r="AF183" s="134"/>
      <c r="AG183" s="134"/>
      <c r="AH183" s="134"/>
      <c r="AI183" s="134"/>
      <c r="AJ183" s="134"/>
      <c r="AK183" s="134"/>
      <c r="AL183" s="134"/>
      <c r="AM183" s="134"/>
      <c r="AN183" s="134"/>
      <c r="AO183" s="134"/>
      <c r="AP183" s="736"/>
      <c r="AQ183" s="736"/>
      <c r="AS183" s="506"/>
      <c r="AU183" s="507"/>
    </row>
    <row r="184" spans="1:47" x14ac:dyDescent="0.3">
      <c r="B184" s="125"/>
      <c r="C184" s="109" t="str">
        <f>"Subtotal "&amp;C177</f>
        <v>Subtotal Consultant Services/Contractual</v>
      </c>
      <c r="D184" s="115"/>
      <c r="E184" s="115"/>
      <c r="P184" s="737">
        <f>ROUND(SUM(P178:Q183),0)</f>
        <v>0</v>
      </c>
      <c r="Q184" s="737"/>
      <c r="T184" s="323"/>
      <c r="AC184" s="737">
        <f>ROUND(SUM(AC178:AD183),0)</f>
        <v>0</v>
      </c>
      <c r="AD184" s="737"/>
      <c r="AE184" s="322"/>
      <c r="AP184" s="737">
        <f>ROUND(SUM(AP178:AQ183),0)</f>
        <v>0</v>
      </c>
      <c r="AQ184" s="737"/>
      <c r="AS184" s="506"/>
      <c r="AU184" s="507"/>
    </row>
    <row r="185" spans="1:47" ht="3" customHeight="1" x14ac:dyDescent="0.3">
      <c r="B185" s="125"/>
      <c r="C185" s="109"/>
      <c r="D185" s="115"/>
      <c r="E185" s="115"/>
      <c r="P185" s="108"/>
      <c r="Q185" s="108"/>
      <c r="T185" s="323"/>
      <c r="AC185" s="108"/>
      <c r="AD185" s="108"/>
      <c r="AE185" s="322"/>
      <c r="AS185" s="506"/>
      <c r="AU185" s="507"/>
    </row>
    <row r="186" spans="1:47" x14ac:dyDescent="0.3">
      <c r="A186" s="109"/>
      <c r="B186" s="131" t="s">
        <v>816</v>
      </c>
      <c r="C186" s="109" t="s">
        <v>821</v>
      </c>
      <c r="D186" s="115"/>
      <c r="E186" s="115"/>
      <c r="T186" s="323"/>
      <c r="AE186" s="322"/>
      <c r="AP186" s="107"/>
      <c r="AQ186" s="107"/>
      <c r="AS186" s="506"/>
      <c r="AU186" s="507"/>
    </row>
    <row r="187" spans="1:47" x14ac:dyDescent="0.3">
      <c r="B187" s="125"/>
      <c r="C187" s="279"/>
      <c r="D187" s="115"/>
      <c r="E187" s="115"/>
      <c r="P187" s="724"/>
      <c r="Q187" s="724"/>
      <c r="T187" s="323"/>
      <c r="AC187" s="724"/>
      <c r="AD187" s="724"/>
      <c r="AE187" s="322"/>
      <c r="AP187" s="735">
        <f>ROUND(SUM(P187:AE187),0)</f>
        <v>0</v>
      </c>
      <c r="AQ187" s="735"/>
      <c r="AS187" s="506"/>
      <c r="AU187" s="507"/>
    </row>
    <row r="188" spans="1:47" x14ac:dyDescent="0.3">
      <c r="B188" s="125"/>
      <c r="C188" s="279"/>
      <c r="D188" s="115"/>
      <c r="E188" s="115"/>
      <c r="P188" s="724"/>
      <c r="Q188" s="724"/>
      <c r="T188" s="323"/>
      <c r="AC188" s="724"/>
      <c r="AD188" s="724"/>
      <c r="AE188" s="322"/>
      <c r="AP188" s="735">
        <f>ROUND(SUM(P188:AE188),0)</f>
        <v>0</v>
      </c>
      <c r="AQ188" s="735"/>
      <c r="AS188" s="506"/>
      <c r="AU188" s="507"/>
    </row>
    <row r="189" spans="1:47" x14ac:dyDescent="0.3">
      <c r="B189" s="125"/>
      <c r="C189" s="279"/>
      <c r="D189" s="115"/>
      <c r="E189" s="115"/>
      <c r="P189" s="724"/>
      <c r="Q189" s="724"/>
      <c r="T189" s="323"/>
      <c r="AC189" s="724"/>
      <c r="AD189" s="724"/>
      <c r="AE189" s="322"/>
      <c r="AP189" s="735">
        <f>ROUND(SUM(P189:AE189),0)</f>
        <v>0</v>
      </c>
      <c r="AQ189" s="735"/>
      <c r="AS189" s="506"/>
      <c r="AU189" s="507"/>
    </row>
    <row r="190" spans="1:47" x14ac:dyDescent="0.3">
      <c r="B190" s="125"/>
      <c r="D190" s="115"/>
      <c r="E190" s="115"/>
      <c r="P190" s="724"/>
      <c r="Q190" s="724"/>
      <c r="T190" s="323"/>
      <c r="AC190" s="724"/>
      <c r="AD190" s="724"/>
      <c r="AE190" s="322"/>
      <c r="AP190" s="735">
        <f>ROUND(SUM(P190:AE190),0)</f>
        <v>0</v>
      </c>
      <c r="AQ190" s="735"/>
      <c r="AS190" s="506"/>
      <c r="AU190" s="507"/>
    </row>
    <row r="191" spans="1:47" x14ac:dyDescent="0.3">
      <c r="B191" s="125"/>
      <c r="D191" s="115"/>
      <c r="E191" s="115"/>
      <c r="P191" s="724"/>
      <c r="Q191" s="724"/>
      <c r="T191" s="323"/>
      <c r="AC191" s="724"/>
      <c r="AD191" s="724"/>
      <c r="AE191" s="322"/>
      <c r="AP191" s="735">
        <f>ROUND(SUM(P191:AE191),0)</f>
        <v>0</v>
      </c>
      <c r="AQ191" s="735"/>
      <c r="AS191" s="506"/>
      <c r="AU191" s="507"/>
    </row>
    <row r="192" spans="1:47" ht="3" customHeight="1" x14ac:dyDescent="0.3">
      <c r="B192" s="125"/>
      <c r="D192" s="132"/>
      <c r="E192" s="132"/>
      <c r="F192" s="296"/>
      <c r="G192" s="141"/>
      <c r="H192" s="134"/>
      <c r="I192" s="134"/>
      <c r="J192" s="134"/>
      <c r="K192" s="134"/>
      <c r="L192" s="134"/>
      <c r="M192" s="134"/>
      <c r="N192" s="134"/>
      <c r="O192" s="134"/>
      <c r="P192" s="736"/>
      <c r="Q192" s="736"/>
      <c r="R192" s="134"/>
      <c r="S192" s="134"/>
      <c r="T192" s="325"/>
      <c r="U192" s="134"/>
      <c r="V192" s="134"/>
      <c r="W192" s="134"/>
      <c r="X192" s="134"/>
      <c r="Y192" s="134"/>
      <c r="Z192" s="134"/>
      <c r="AA192" s="134"/>
      <c r="AB192" s="134"/>
      <c r="AC192" s="736"/>
      <c r="AD192" s="736"/>
      <c r="AE192" s="326"/>
      <c r="AF192" s="134"/>
      <c r="AG192" s="134"/>
      <c r="AH192" s="134"/>
      <c r="AI192" s="134"/>
      <c r="AJ192" s="134"/>
      <c r="AK192" s="134"/>
      <c r="AL192" s="134"/>
      <c r="AM192" s="134"/>
      <c r="AN192" s="134"/>
      <c r="AO192" s="134"/>
      <c r="AP192" s="736"/>
      <c r="AQ192" s="736"/>
      <c r="AS192" s="506"/>
      <c r="AU192" s="507"/>
    </row>
    <row r="193" spans="1:47" x14ac:dyDescent="0.3">
      <c r="B193" s="125"/>
      <c r="C193" s="109" t="str">
        <f>"Subtotal "&amp;C186</f>
        <v>Subtotal Fee for Service/Contractual</v>
      </c>
      <c r="D193" s="115"/>
      <c r="E193" s="115"/>
      <c r="P193" s="737">
        <f>ROUND(SUM(P187:Q192),0)</f>
        <v>0</v>
      </c>
      <c r="Q193" s="737"/>
      <c r="T193" s="323"/>
      <c r="AC193" s="737">
        <f>ROUND(SUM(AC187:AD192),0)</f>
        <v>0</v>
      </c>
      <c r="AD193" s="737"/>
      <c r="AE193" s="322"/>
      <c r="AP193" s="737">
        <f>ROUND(SUM(AP187:AQ192),0)</f>
        <v>0</v>
      </c>
      <c r="AQ193" s="737"/>
      <c r="AS193" s="506"/>
      <c r="AU193" s="507"/>
    </row>
    <row r="194" spans="1:47" ht="3" customHeight="1" x14ac:dyDescent="0.3">
      <c r="B194" s="125"/>
      <c r="C194" s="109"/>
      <c r="D194" s="115"/>
      <c r="E194" s="115"/>
      <c r="P194" s="108"/>
      <c r="Q194" s="108"/>
      <c r="T194" s="323"/>
      <c r="AC194" s="108"/>
      <c r="AD194" s="108"/>
      <c r="AE194" s="322"/>
      <c r="AS194" s="506"/>
      <c r="AU194" s="507"/>
    </row>
    <row r="195" spans="1:47" x14ac:dyDescent="0.3">
      <c r="A195" s="109"/>
      <c r="B195" s="131" t="s">
        <v>817</v>
      </c>
      <c r="C195" s="109" t="s">
        <v>822</v>
      </c>
      <c r="D195" s="115"/>
      <c r="E195" s="115"/>
      <c r="T195" s="323"/>
      <c r="AE195" s="322"/>
      <c r="AP195" s="107"/>
      <c r="AQ195" s="107"/>
      <c r="AS195" s="506"/>
      <c r="AU195" s="507"/>
    </row>
    <row r="196" spans="1:47" x14ac:dyDescent="0.3">
      <c r="B196" s="125"/>
      <c r="D196" s="115"/>
      <c r="E196" s="115"/>
      <c r="P196" s="724"/>
      <c r="Q196" s="724"/>
      <c r="T196" s="323"/>
      <c r="AC196" s="724"/>
      <c r="AD196" s="724"/>
      <c r="AE196" s="322"/>
      <c r="AP196" s="735">
        <f>ROUND(SUM(P196:AE196),0)</f>
        <v>0</v>
      </c>
      <c r="AQ196" s="735"/>
      <c r="AS196" s="506">
        <f>IF(P196&gt;25000,P196-25000,0)</f>
        <v>0</v>
      </c>
      <c r="AU196" s="507">
        <f>AC196</f>
        <v>0</v>
      </c>
    </row>
    <row r="197" spans="1:47" x14ac:dyDescent="0.3">
      <c r="B197" s="125"/>
      <c r="D197" s="115"/>
      <c r="E197" s="115"/>
      <c r="P197" s="724"/>
      <c r="Q197" s="724"/>
      <c r="T197" s="323"/>
      <c r="AC197" s="724"/>
      <c r="AD197" s="724"/>
      <c r="AE197" s="322"/>
      <c r="AP197" s="735">
        <f>ROUND(SUM(P197:AE197),0)</f>
        <v>0</v>
      </c>
      <c r="AQ197" s="735"/>
      <c r="AS197" s="506">
        <f>IF(P197&gt;25000,P197-25000,0)</f>
        <v>0</v>
      </c>
      <c r="AU197" s="507">
        <f>AC197</f>
        <v>0</v>
      </c>
    </row>
    <row r="198" spans="1:47" ht="15" customHeight="1" x14ac:dyDescent="0.3">
      <c r="B198" s="125"/>
      <c r="D198" s="115"/>
      <c r="E198" s="115"/>
      <c r="P198" s="724"/>
      <c r="Q198" s="724"/>
      <c r="T198" s="323"/>
      <c r="AC198" s="724"/>
      <c r="AD198" s="724"/>
      <c r="AE198" s="322"/>
      <c r="AP198" s="735">
        <f>ROUND(SUM(P198:AE198),0)</f>
        <v>0</v>
      </c>
      <c r="AQ198" s="735"/>
      <c r="AS198" s="506">
        <f>IF(P198&gt;25000,P198-25000,0)</f>
        <v>0</v>
      </c>
      <c r="AU198" s="507">
        <f>AC198</f>
        <v>0</v>
      </c>
    </row>
    <row r="199" spans="1:47" x14ac:dyDescent="0.3">
      <c r="B199" s="125"/>
      <c r="D199" s="115"/>
      <c r="E199" s="115"/>
      <c r="P199" s="724"/>
      <c r="Q199" s="724"/>
      <c r="T199" s="323"/>
      <c r="AC199" s="724"/>
      <c r="AD199" s="724"/>
      <c r="AE199" s="322"/>
      <c r="AP199" s="735">
        <f>ROUND(SUM(P199:AE199),0)</f>
        <v>0</v>
      </c>
      <c r="AQ199" s="735"/>
      <c r="AS199" s="506">
        <f>IF(P199&gt;25000,P199-25000,0)</f>
        <v>0</v>
      </c>
      <c r="AU199" s="507">
        <f>AC199</f>
        <v>0</v>
      </c>
    </row>
    <row r="200" spans="1:47" x14ac:dyDescent="0.3">
      <c r="B200" s="125"/>
      <c r="D200" s="115"/>
      <c r="E200" s="115"/>
      <c r="P200" s="724"/>
      <c r="Q200" s="724"/>
      <c r="T200" s="323"/>
      <c r="AC200" s="724"/>
      <c r="AD200" s="724"/>
      <c r="AE200" s="322"/>
      <c r="AP200" s="735">
        <f>ROUND(SUM(P200:AE200),0)</f>
        <v>0</v>
      </c>
      <c r="AQ200" s="735"/>
      <c r="AS200" s="506">
        <f>IF(P200&gt;25000,P200-25000,0)</f>
        <v>0</v>
      </c>
      <c r="AU200" s="507">
        <f>AC200</f>
        <v>0</v>
      </c>
    </row>
    <row r="201" spans="1:47" ht="3" customHeight="1" x14ac:dyDescent="0.3">
      <c r="B201" s="125"/>
      <c r="D201" s="132"/>
      <c r="E201" s="132"/>
      <c r="F201" s="296"/>
      <c r="G201" s="141"/>
      <c r="H201" s="134"/>
      <c r="I201" s="134"/>
      <c r="J201" s="134"/>
      <c r="K201" s="134"/>
      <c r="L201" s="134"/>
      <c r="M201" s="134"/>
      <c r="N201" s="134"/>
      <c r="O201" s="134"/>
      <c r="P201" s="736"/>
      <c r="Q201" s="736"/>
      <c r="R201" s="134"/>
      <c r="S201" s="134"/>
      <c r="T201" s="325"/>
      <c r="U201" s="134"/>
      <c r="V201" s="134"/>
      <c r="W201" s="134"/>
      <c r="X201" s="134"/>
      <c r="Y201" s="134"/>
      <c r="Z201" s="134"/>
      <c r="AA201" s="134"/>
      <c r="AB201" s="134"/>
      <c r="AC201" s="736"/>
      <c r="AD201" s="736"/>
      <c r="AE201" s="326"/>
      <c r="AF201" s="134"/>
      <c r="AG201" s="134"/>
      <c r="AH201" s="134"/>
      <c r="AI201" s="134"/>
      <c r="AJ201" s="134"/>
      <c r="AK201" s="134"/>
      <c r="AL201" s="134"/>
      <c r="AM201" s="134"/>
      <c r="AN201" s="134"/>
      <c r="AO201" s="134"/>
      <c r="AP201" s="736"/>
      <c r="AQ201" s="736"/>
      <c r="AS201" s="506"/>
      <c r="AU201" s="507"/>
    </row>
    <row r="202" spans="1:47" x14ac:dyDescent="0.3">
      <c r="B202" s="125"/>
      <c r="C202" s="109" t="str">
        <f>"Subtotal "&amp;C195</f>
        <v>Subtotal Subawards</v>
      </c>
      <c r="D202" s="115"/>
      <c r="E202" s="115"/>
      <c r="P202" s="737">
        <f>ROUND(SUM(P196:Q201),0)</f>
        <v>0</v>
      </c>
      <c r="Q202" s="737"/>
      <c r="T202" s="323"/>
      <c r="AC202" s="737">
        <f>ROUND(SUM(AC196:AD201),0)</f>
        <v>0</v>
      </c>
      <c r="AD202" s="737"/>
      <c r="AE202" s="322"/>
      <c r="AP202" s="737">
        <f>ROUND(SUM(AP196:AQ201),0)</f>
        <v>0</v>
      </c>
      <c r="AQ202" s="737"/>
      <c r="AS202" s="506"/>
      <c r="AU202" s="507"/>
    </row>
    <row r="203" spans="1:47" ht="1.5" customHeight="1" x14ac:dyDescent="0.3">
      <c r="B203" s="125"/>
      <c r="C203" s="109"/>
      <c r="D203" s="115"/>
      <c r="E203" s="115"/>
      <c r="P203" s="108"/>
      <c r="Q203" s="108"/>
      <c r="T203" s="323"/>
      <c r="AC203" s="108"/>
      <c r="AD203" s="108"/>
      <c r="AE203" s="322"/>
      <c r="AS203" s="506"/>
      <c r="AU203" s="507"/>
    </row>
    <row r="204" spans="1:47" x14ac:dyDescent="0.3">
      <c r="A204" s="109"/>
      <c r="B204" s="131" t="s">
        <v>823</v>
      </c>
      <c r="C204" s="109" t="s">
        <v>824</v>
      </c>
      <c r="D204" s="115"/>
      <c r="E204" s="115"/>
      <c r="T204" s="323"/>
      <c r="AE204" s="322"/>
      <c r="AP204" s="107"/>
      <c r="AQ204" s="107"/>
      <c r="AS204" s="506"/>
      <c r="AU204" s="507"/>
    </row>
    <row r="205" spans="1:47" x14ac:dyDescent="0.3">
      <c r="B205" s="125"/>
      <c r="C205" s="278"/>
      <c r="D205" s="115"/>
      <c r="E205" s="115"/>
      <c r="P205" s="724"/>
      <c r="Q205" s="724"/>
      <c r="T205" s="323"/>
      <c r="AC205" s="724"/>
      <c r="AD205" s="724"/>
      <c r="AE205" s="322"/>
      <c r="AP205" s="735">
        <f>ROUND(SUM(P205:AE205),0)</f>
        <v>0</v>
      </c>
      <c r="AQ205" s="735"/>
      <c r="AS205" s="506"/>
      <c r="AU205" s="507"/>
    </row>
    <row r="206" spans="1:47" x14ac:dyDescent="0.3">
      <c r="B206" s="125"/>
      <c r="C206" s="278"/>
      <c r="D206" s="115"/>
      <c r="E206" s="115"/>
      <c r="P206" s="724"/>
      <c r="Q206" s="724"/>
      <c r="T206" s="323"/>
      <c r="AC206" s="724"/>
      <c r="AD206" s="724"/>
      <c r="AE206" s="322"/>
      <c r="AP206" s="735">
        <f>ROUND(SUM(P206:AE206),0)</f>
        <v>0</v>
      </c>
      <c r="AQ206" s="735"/>
      <c r="AS206" s="506"/>
      <c r="AU206" s="507"/>
    </row>
    <row r="207" spans="1:47" x14ac:dyDescent="0.3">
      <c r="B207" s="125"/>
      <c r="C207" s="279"/>
      <c r="D207" s="115"/>
      <c r="E207" s="115"/>
      <c r="P207" s="724"/>
      <c r="Q207" s="724"/>
      <c r="T207" s="323"/>
      <c r="AC207" s="724"/>
      <c r="AD207" s="724"/>
      <c r="AE207" s="322"/>
      <c r="AP207" s="735">
        <f>ROUND(SUM(P207:AE207),0)</f>
        <v>0</v>
      </c>
      <c r="AQ207" s="735"/>
      <c r="AS207" s="506"/>
      <c r="AU207" s="507"/>
    </row>
    <row r="208" spans="1:47" x14ac:dyDescent="0.3">
      <c r="B208" s="125"/>
      <c r="C208" s="279"/>
      <c r="D208" s="115"/>
      <c r="E208" s="115"/>
      <c r="P208" s="724"/>
      <c r="Q208" s="724"/>
      <c r="T208" s="323"/>
      <c r="AC208" s="724"/>
      <c r="AD208" s="724"/>
      <c r="AE208" s="322"/>
      <c r="AP208" s="735">
        <f>ROUND(SUM(P208:AE208),0)</f>
        <v>0</v>
      </c>
      <c r="AQ208" s="735"/>
      <c r="AS208" s="506"/>
      <c r="AU208" s="507"/>
    </row>
    <row r="209" spans="1:47" x14ac:dyDescent="0.3">
      <c r="B209" s="125"/>
      <c r="D209" s="115"/>
      <c r="E209" s="115"/>
      <c r="P209" s="724"/>
      <c r="Q209" s="724"/>
      <c r="T209" s="323"/>
      <c r="AC209" s="724"/>
      <c r="AD209" s="724"/>
      <c r="AE209" s="322"/>
      <c r="AP209" s="735">
        <f>ROUND(SUM(P209:AE209),0)</f>
        <v>0</v>
      </c>
      <c r="AQ209" s="735"/>
      <c r="AS209" s="506"/>
      <c r="AU209" s="507"/>
    </row>
    <row r="210" spans="1:47" ht="3" customHeight="1" x14ac:dyDescent="0.3">
      <c r="B210" s="125"/>
      <c r="D210" s="132"/>
      <c r="E210" s="132"/>
      <c r="F210" s="296"/>
      <c r="G210" s="141"/>
      <c r="H210" s="134"/>
      <c r="I210" s="134"/>
      <c r="J210" s="134"/>
      <c r="K210" s="134"/>
      <c r="L210" s="134"/>
      <c r="M210" s="134"/>
      <c r="N210" s="134"/>
      <c r="O210" s="134"/>
      <c r="P210" s="736"/>
      <c r="Q210" s="736"/>
      <c r="R210" s="134"/>
      <c r="S210" s="134"/>
      <c r="T210" s="325"/>
      <c r="U210" s="134"/>
      <c r="V210" s="134"/>
      <c r="W210" s="134"/>
      <c r="X210" s="134"/>
      <c r="Y210" s="134"/>
      <c r="Z210" s="134"/>
      <c r="AA210" s="134"/>
      <c r="AB210" s="134"/>
      <c r="AC210" s="736"/>
      <c r="AD210" s="736"/>
      <c r="AE210" s="326"/>
      <c r="AF210" s="134"/>
      <c r="AG210" s="134"/>
      <c r="AH210" s="134"/>
      <c r="AI210" s="134"/>
      <c r="AJ210" s="134"/>
      <c r="AK210" s="134"/>
      <c r="AL210" s="134"/>
      <c r="AM210" s="134"/>
      <c r="AN210" s="134"/>
      <c r="AO210" s="134"/>
      <c r="AP210" s="736"/>
      <c r="AQ210" s="736"/>
      <c r="AS210" s="506"/>
      <c r="AU210" s="507"/>
    </row>
    <row r="211" spans="1:47" x14ac:dyDescent="0.3">
      <c r="B211" s="125"/>
      <c r="C211" s="109" t="str">
        <f>"Subtotal "&amp;C204</f>
        <v>Subtotal Equipment/Facility Rental Fees</v>
      </c>
      <c r="D211" s="115"/>
      <c r="E211" s="115"/>
      <c r="P211" s="737">
        <f>ROUND(SUM(P205:Q210),0)</f>
        <v>0</v>
      </c>
      <c r="Q211" s="737"/>
      <c r="T211" s="323"/>
      <c r="AC211" s="737">
        <f>ROUND(SUM(AC205:AD210),0)</f>
        <v>0</v>
      </c>
      <c r="AD211" s="737"/>
      <c r="AE211" s="322"/>
      <c r="AP211" s="737">
        <f>ROUND(SUM(AP205:AQ210),0)</f>
        <v>0</v>
      </c>
      <c r="AQ211" s="737"/>
      <c r="AS211" s="506"/>
      <c r="AU211" s="507"/>
    </row>
    <row r="212" spans="1:47" ht="3" customHeight="1" x14ac:dyDescent="0.3">
      <c r="B212" s="125"/>
      <c r="C212" s="109"/>
      <c r="D212" s="115"/>
      <c r="E212" s="115"/>
      <c r="P212" s="108"/>
      <c r="Q212" s="108"/>
      <c r="T212" s="323"/>
      <c r="AC212" s="108"/>
      <c r="AD212" s="108"/>
      <c r="AE212" s="322"/>
      <c r="AS212" s="506"/>
      <c r="AU212" s="507"/>
    </row>
    <row r="213" spans="1:47" x14ac:dyDescent="0.3">
      <c r="A213" s="109"/>
      <c r="B213" s="131" t="s">
        <v>825</v>
      </c>
      <c r="C213" s="109" t="s">
        <v>826</v>
      </c>
      <c r="D213" s="115"/>
      <c r="E213" s="115"/>
      <c r="T213" s="323"/>
      <c r="AE213" s="322"/>
      <c r="AP213" s="107"/>
      <c r="AQ213" s="107"/>
      <c r="AS213" s="506"/>
      <c r="AU213" s="507"/>
    </row>
    <row r="214" spans="1:47" x14ac:dyDescent="0.3">
      <c r="B214" s="125"/>
      <c r="D214" s="115"/>
      <c r="E214" s="115"/>
      <c r="P214" s="724"/>
      <c r="Q214" s="724"/>
      <c r="T214" s="323"/>
      <c r="AC214" s="724"/>
      <c r="AD214" s="724"/>
      <c r="AE214" s="322"/>
      <c r="AP214" s="735">
        <f>ROUND(SUM(P214:AE214),0)</f>
        <v>0</v>
      </c>
      <c r="AQ214" s="735"/>
      <c r="AS214" s="506"/>
      <c r="AU214" s="507"/>
    </row>
    <row r="215" spans="1:47" x14ac:dyDescent="0.3">
      <c r="B215" s="125"/>
      <c r="D215" s="115"/>
      <c r="E215" s="115"/>
      <c r="P215" s="724"/>
      <c r="Q215" s="724"/>
      <c r="T215" s="323"/>
      <c r="AC215" s="724"/>
      <c r="AD215" s="724"/>
      <c r="AE215" s="322"/>
      <c r="AP215" s="735">
        <f>ROUND(SUM(P215:AE215),0)</f>
        <v>0</v>
      </c>
      <c r="AQ215" s="735"/>
      <c r="AS215" s="506"/>
      <c r="AU215" s="507"/>
    </row>
    <row r="216" spans="1:47" x14ac:dyDescent="0.3">
      <c r="B216" s="125"/>
      <c r="D216" s="115"/>
      <c r="E216" s="115"/>
      <c r="P216" s="724"/>
      <c r="Q216" s="724"/>
      <c r="T216" s="323"/>
      <c r="AC216" s="724"/>
      <c r="AD216" s="724"/>
      <c r="AE216" s="322"/>
      <c r="AP216" s="735">
        <f>ROUND(SUM(P216:AE216),0)</f>
        <v>0</v>
      </c>
      <c r="AQ216" s="735"/>
      <c r="AS216" s="506"/>
      <c r="AU216" s="507"/>
    </row>
    <row r="217" spans="1:47" x14ac:dyDescent="0.3">
      <c r="B217" s="125"/>
      <c r="D217" s="115"/>
      <c r="E217" s="115"/>
      <c r="P217" s="724"/>
      <c r="Q217" s="724"/>
      <c r="T217" s="323"/>
      <c r="AC217" s="724"/>
      <c r="AD217" s="724"/>
      <c r="AE217" s="322"/>
      <c r="AP217" s="735">
        <f>ROUND(SUM(P217:AE217),0)</f>
        <v>0</v>
      </c>
      <c r="AQ217" s="735"/>
      <c r="AS217" s="506"/>
      <c r="AU217" s="507"/>
    </row>
    <row r="218" spans="1:47" x14ac:dyDescent="0.3">
      <c r="B218" s="125"/>
      <c r="D218" s="115"/>
      <c r="E218" s="115"/>
      <c r="P218" s="724"/>
      <c r="Q218" s="724"/>
      <c r="T218" s="323"/>
      <c r="AC218" s="724"/>
      <c r="AD218" s="724"/>
      <c r="AE218" s="322"/>
      <c r="AP218" s="735">
        <f>ROUND(SUM(P218:AE218),0)</f>
        <v>0</v>
      </c>
      <c r="AQ218" s="735"/>
      <c r="AS218" s="506"/>
      <c r="AU218" s="507"/>
    </row>
    <row r="219" spans="1:47" ht="3" customHeight="1" x14ac:dyDescent="0.3">
      <c r="B219" s="125"/>
      <c r="D219" s="132"/>
      <c r="E219" s="132"/>
      <c r="F219" s="296"/>
      <c r="G219" s="141"/>
      <c r="H219" s="134"/>
      <c r="I219" s="134"/>
      <c r="J219" s="134"/>
      <c r="K219" s="134"/>
      <c r="L219" s="134"/>
      <c r="M219" s="134"/>
      <c r="N219" s="134"/>
      <c r="O219" s="134"/>
      <c r="P219" s="736"/>
      <c r="Q219" s="736"/>
      <c r="R219" s="134"/>
      <c r="S219" s="134"/>
      <c r="T219" s="325"/>
      <c r="U219" s="134"/>
      <c r="V219" s="134"/>
      <c r="W219" s="134"/>
      <c r="X219" s="134"/>
      <c r="Y219" s="134"/>
      <c r="Z219" s="134"/>
      <c r="AA219" s="134"/>
      <c r="AB219" s="134"/>
      <c r="AC219" s="736"/>
      <c r="AD219" s="736"/>
      <c r="AE219" s="326"/>
      <c r="AF219" s="134"/>
      <c r="AG219" s="134"/>
      <c r="AH219" s="134"/>
      <c r="AI219" s="134"/>
      <c r="AJ219" s="134"/>
      <c r="AK219" s="134"/>
      <c r="AL219" s="134"/>
      <c r="AM219" s="134"/>
      <c r="AN219" s="134"/>
      <c r="AO219" s="134"/>
      <c r="AP219" s="736"/>
      <c r="AQ219" s="736"/>
      <c r="AS219" s="506"/>
      <c r="AU219" s="507"/>
    </row>
    <row r="220" spans="1:47" x14ac:dyDescent="0.3">
      <c r="B220" s="125"/>
      <c r="C220" s="109" t="str">
        <f>"Subtotal "&amp;C213</f>
        <v>Subtotal Alterations/Renovations</v>
      </c>
      <c r="D220" s="115"/>
      <c r="E220" s="115"/>
      <c r="P220" s="737">
        <f>ROUND(SUM(P214:Q219),0)</f>
        <v>0</v>
      </c>
      <c r="Q220" s="737"/>
      <c r="T220" s="323"/>
      <c r="AC220" s="737">
        <f>ROUND(SUM(AC214:AD219),0)</f>
        <v>0</v>
      </c>
      <c r="AD220" s="737"/>
      <c r="AE220" s="322"/>
      <c r="AP220" s="737">
        <f>ROUND(SUM(AP214:AQ219),0)</f>
        <v>0</v>
      </c>
      <c r="AQ220" s="737"/>
      <c r="AS220" s="506"/>
      <c r="AU220" s="507"/>
    </row>
    <row r="221" spans="1:47" ht="3" customHeight="1" x14ac:dyDescent="0.3">
      <c r="B221" s="125"/>
      <c r="C221" s="109"/>
      <c r="D221" s="115"/>
      <c r="E221" s="115"/>
      <c r="P221" s="108"/>
      <c r="Q221" s="108"/>
      <c r="T221" s="323"/>
      <c r="AC221" s="108"/>
      <c r="AD221" s="108"/>
      <c r="AE221" s="322"/>
      <c r="AS221" s="506"/>
      <c r="AU221" s="507"/>
    </row>
    <row r="222" spans="1:47" x14ac:dyDescent="0.3">
      <c r="A222" s="109"/>
      <c r="B222" s="131" t="s">
        <v>827</v>
      </c>
      <c r="C222" s="109" t="s">
        <v>679</v>
      </c>
      <c r="D222" s="115"/>
      <c r="E222" s="115"/>
      <c r="T222" s="323"/>
      <c r="AE222" s="322"/>
      <c r="AP222" s="107"/>
      <c r="AQ222" s="107"/>
      <c r="AS222" s="506"/>
      <c r="AU222" s="507"/>
    </row>
    <row r="223" spans="1:47" x14ac:dyDescent="0.3">
      <c r="B223" s="125"/>
      <c r="C223" s="279" t="s">
        <v>828</v>
      </c>
      <c r="D223" s="109" t="s">
        <v>829</v>
      </c>
      <c r="E223" s="115"/>
      <c r="P223" s="724"/>
      <c r="Q223" s="724"/>
      <c r="T223" s="323"/>
      <c r="AC223" s="724"/>
      <c r="AD223" s="724"/>
      <c r="AE223" s="322"/>
      <c r="AP223" s="735"/>
      <c r="AQ223" s="735"/>
      <c r="AS223" s="506"/>
      <c r="AU223" s="507"/>
    </row>
    <row r="224" spans="1:47" x14ac:dyDescent="0.3">
      <c r="B224" s="125"/>
      <c r="C224" s="430"/>
      <c r="D224" s="116" t="s">
        <v>830</v>
      </c>
      <c r="E224" s="115"/>
      <c r="P224" s="724"/>
      <c r="Q224" s="724"/>
      <c r="T224" s="323"/>
      <c r="AC224" s="724"/>
      <c r="AD224" s="724"/>
      <c r="AE224" s="322"/>
      <c r="AP224" s="735"/>
      <c r="AQ224" s="735"/>
      <c r="AS224" s="506"/>
      <c r="AU224" s="507"/>
    </row>
    <row r="225" spans="1:47" x14ac:dyDescent="0.3">
      <c r="B225" s="125"/>
      <c r="C225" s="156"/>
      <c r="D225" s="116" t="str">
        <f>Data!AG294</f>
        <v>Fall 2021 ~ ACAD YR 2022</v>
      </c>
      <c r="E225" s="115"/>
      <c r="F225" s="180">
        <f>Data!AA294</f>
        <v>4284</v>
      </c>
      <c r="P225" s="724">
        <f>ROUND(($C$224*$F225),0)</f>
        <v>0</v>
      </c>
      <c r="Q225" s="724"/>
      <c r="T225" s="323"/>
      <c r="AC225" s="724">
        <v>0</v>
      </c>
      <c r="AD225" s="724"/>
      <c r="AE225" s="322"/>
      <c r="AP225" s="735">
        <f>ROUND(SUM(AC225+P225),0)</f>
        <v>0</v>
      </c>
      <c r="AQ225" s="735"/>
      <c r="AS225" s="506">
        <f>P225</f>
        <v>0</v>
      </c>
      <c r="AU225" s="507">
        <f>AC225</f>
        <v>0</v>
      </c>
    </row>
    <row r="226" spans="1:47" x14ac:dyDescent="0.3">
      <c r="B226" s="125"/>
      <c r="C226" s="156"/>
      <c r="D226" s="116" t="str">
        <f>Data!AG295</f>
        <v>Spring 2022 ~ ACAD YR 2022</v>
      </c>
      <c r="E226" s="115"/>
      <c r="F226" s="180">
        <f>Data!AA295</f>
        <v>4284</v>
      </c>
      <c r="P226" s="724">
        <f>ROUND(($C$224*$F226),0)</f>
        <v>0</v>
      </c>
      <c r="Q226" s="724"/>
      <c r="T226" s="323"/>
      <c r="AC226" s="724">
        <v>0</v>
      </c>
      <c r="AD226" s="724"/>
      <c r="AE226" s="322"/>
      <c r="AP226" s="735">
        <f>ROUND(SUM(AC226+P226),0)</f>
        <v>0</v>
      </c>
      <c r="AQ226" s="735"/>
      <c r="AS226" s="506">
        <f>P226</f>
        <v>0</v>
      </c>
      <c r="AU226" s="507">
        <f>AC226</f>
        <v>0</v>
      </c>
    </row>
    <row r="227" spans="1:47" x14ac:dyDescent="0.3">
      <c r="B227" s="125"/>
      <c r="C227" s="156"/>
      <c r="D227" s="116" t="str">
        <f>Data!AG296</f>
        <v>Summer 2022 ~ ACAD YR 2023</v>
      </c>
      <c r="E227" s="115"/>
      <c r="F227" s="180">
        <f>Data!AA296</f>
        <v>981</v>
      </c>
      <c r="P227" s="724">
        <f>ROUND(($C$224*$F227),0)</f>
        <v>0</v>
      </c>
      <c r="Q227" s="724"/>
      <c r="T227" s="323"/>
      <c r="AC227" s="724">
        <v>0</v>
      </c>
      <c r="AD227" s="724"/>
      <c r="AE227" s="322"/>
      <c r="AP227" s="735">
        <f>ROUND(SUM(AC227+P227),0)</f>
        <v>0</v>
      </c>
      <c r="AQ227" s="735"/>
      <c r="AS227" s="506">
        <f>P227</f>
        <v>0</v>
      </c>
      <c r="AU227" s="507">
        <f>AC227</f>
        <v>0</v>
      </c>
    </row>
    <row r="228" spans="1:47" ht="3" customHeight="1" x14ac:dyDescent="0.3">
      <c r="B228" s="125"/>
      <c r="C228" s="113"/>
      <c r="D228" s="116"/>
      <c r="E228" s="115"/>
      <c r="P228" s="724"/>
      <c r="Q228" s="724"/>
      <c r="T228" s="323"/>
      <c r="AC228" s="724"/>
      <c r="AD228" s="724"/>
      <c r="AE228" s="322"/>
      <c r="AP228" s="735"/>
      <c r="AQ228" s="735"/>
      <c r="AS228" s="506"/>
      <c r="AU228" s="507"/>
    </row>
    <row r="229" spans="1:47" x14ac:dyDescent="0.3">
      <c r="B229" s="131"/>
      <c r="C229" s="279" t="s">
        <v>831</v>
      </c>
      <c r="D229" s="109" t="s">
        <v>832</v>
      </c>
      <c r="E229" s="115"/>
      <c r="P229" s="724"/>
      <c r="Q229" s="724"/>
      <c r="T229" s="323"/>
      <c r="AC229" s="724"/>
      <c r="AD229" s="724"/>
      <c r="AE229" s="322"/>
      <c r="AP229" s="735">
        <f>ROUND(SUM(P229:AE229),0)</f>
        <v>0</v>
      </c>
      <c r="AQ229" s="735"/>
      <c r="AS229" s="506"/>
      <c r="AU229" s="507">
        <f t="shared" ref="AU229" si="4">AC229</f>
        <v>0</v>
      </c>
    </row>
    <row r="230" spans="1:47" ht="3" customHeight="1" x14ac:dyDescent="0.3">
      <c r="B230" s="125"/>
      <c r="D230" s="132"/>
      <c r="E230" s="132"/>
      <c r="F230" s="296"/>
      <c r="G230" s="141"/>
      <c r="H230" s="134"/>
      <c r="I230" s="134"/>
      <c r="J230" s="134"/>
      <c r="K230" s="134"/>
      <c r="L230" s="134"/>
      <c r="M230" s="134"/>
      <c r="N230" s="134"/>
      <c r="O230" s="134"/>
      <c r="P230" s="736"/>
      <c r="Q230" s="736"/>
      <c r="R230" s="134"/>
      <c r="S230" s="134"/>
      <c r="T230" s="325"/>
      <c r="U230" s="134"/>
      <c r="V230" s="134"/>
      <c r="W230" s="134"/>
      <c r="X230" s="134"/>
      <c r="Y230" s="134"/>
      <c r="Z230" s="134"/>
      <c r="AA230" s="134"/>
      <c r="AB230" s="134"/>
      <c r="AC230" s="736"/>
      <c r="AD230" s="736"/>
      <c r="AE230" s="326"/>
      <c r="AF230" s="134"/>
      <c r="AG230" s="134"/>
      <c r="AH230" s="134"/>
      <c r="AI230" s="134"/>
      <c r="AJ230" s="134"/>
      <c r="AK230" s="134"/>
      <c r="AL230" s="134"/>
      <c r="AM230" s="134"/>
      <c r="AN230" s="134"/>
      <c r="AO230" s="134"/>
      <c r="AP230" s="736"/>
      <c r="AQ230" s="736"/>
      <c r="AS230" s="506"/>
      <c r="AU230" s="507"/>
    </row>
    <row r="231" spans="1:47" x14ac:dyDescent="0.3">
      <c r="B231" s="125"/>
      <c r="C231" s="109" t="str">
        <f>"Subtotal "&amp;C222</f>
        <v>Subtotal Other</v>
      </c>
      <c r="D231" s="115"/>
      <c r="E231" s="115"/>
      <c r="P231" s="737">
        <f>ROUND(SUM(P223:Q230),0)</f>
        <v>0</v>
      </c>
      <c r="Q231" s="737"/>
      <c r="T231" s="323"/>
      <c r="AC231" s="737">
        <f>ROUND(SUM(AC223:AD230),0)</f>
        <v>0</v>
      </c>
      <c r="AD231" s="737"/>
      <c r="AE231" s="322"/>
      <c r="AP231" s="737">
        <f>ROUND(SUM(AP223:AQ230),0)</f>
        <v>0</v>
      </c>
      <c r="AQ231" s="737"/>
      <c r="AS231" s="506"/>
      <c r="AU231" s="507"/>
    </row>
    <row r="232" spans="1:47" ht="3" customHeight="1" x14ac:dyDescent="0.3">
      <c r="B232" s="135"/>
      <c r="C232" s="136"/>
      <c r="D232" s="132"/>
      <c r="E232" s="132"/>
      <c r="F232" s="296"/>
      <c r="G232" s="141"/>
      <c r="H232" s="134"/>
      <c r="I232" s="134"/>
      <c r="J232" s="134"/>
      <c r="K232" s="134"/>
      <c r="L232" s="134"/>
      <c r="M232" s="134"/>
      <c r="N232" s="134"/>
      <c r="O232" s="134"/>
      <c r="P232" s="313"/>
      <c r="Q232" s="313"/>
      <c r="R232" s="134"/>
      <c r="S232" s="134"/>
      <c r="T232" s="325"/>
      <c r="U232" s="134"/>
      <c r="V232" s="134"/>
      <c r="W232" s="134"/>
      <c r="X232" s="134"/>
      <c r="Y232" s="134"/>
      <c r="Z232" s="134"/>
      <c r="AA232" s="134"/>
      <c r="AB232" s="134"/>
      <c r="AC232" s="313"/>
      <c r="AD232" s="313"/>
      <c r="AE232" s="326"/>
      <c r="AF232" s="134"/>
      <c r="AG232" s="134"/>
      <c r="AH232" s="134"/>
      <c r="AI232" s="134"/>
      <c r="AJ232" s="134"/>
      <c r="AK232" s="134"/>
      <c r="AL232" s="134"/>
      <c r="AM232" s="134"/>
      <c r="AN232" s="134"/>
      <c r="AO232" s="134"/>
      <c r="AP232" s="313"/>
      <c r="AQ232" s="313"/>
      <c r="AS232" s="506"/>
      <c r="AU232" s="507"/>
    </row>
    <row r="233" spans="1:47" x14ac:dyDescent="0.3">
      <c r="B233" s="160" t="str">
        <f>"TOTAL "&amp;B153</f>
        <v>TOTAL OTHER DIRECT COSTS</v>
      </c>
      <c r="C233" s="158"/>
      <c r="D233" s="170"/>
      <c r="E233" s="170"/>
      <c r="F233" s="298"/>
      <c r="G233" s="312"/>
      <c r="H233" s="159"/>
      <c r="I233" s="159"/>
      <c r="J233" s="159"/>
      <c r="K233" s="159"/>
      <c r="L233" s="159"/>
      <c r="M233" s="159"/>
      <c r="N233" s="159"/>
      <c r="O233" s="159"/>
      <c r="P233" s="727">
        <f>ROUND(P166+P175+P184+P193+P202+P211+P220+P231,0)</f>
        <v>0</v>
      </c>
      <c r="Q233" s="727"/>
      <c r="R233" s="159"/>
      <c r="S233" s="159"/>
      <c r="T233" s="327"/>
      <c r="U233" s="159"/>
      <c r="V233" s="159"/>
      <c r="W233" s="159"/>
      <c r="X233" s="159"/>
      <c r="Y233" s="159"/>
      <c r="Z233" s="159"/>
      <c r="AA233" s="159"/>
      <c r="AB233" s="159"/>
      <c r="AC233" s="727">
        <f>ROUND(AC166+AC175+AC184+AC193+AC202+AC211+AC220+AC231,0)</f>
        <v>0</v>
      </c>
      <c r="AD233" s="727"/>
      <c r="AE233" s="328"/>
      <c r="AF233" s="159"/>
      <c r="AG233" s="159"/>
      <c r="AH233" s="159"/>
      <c r="AI233" s="159"/>
      <c r="AJ233" s="159"/>
      <c r="AK233" s="159"/>
      <c r="AL233" s="159"/>
      <c r="AM233" s="159"/>
      <c r="AN233" s="159"/>
      <c r="AO233" s="159"/>
      <c r="AP233" s="733">
        <f>ROUND(SUM(P233:AE233),0)</f>
        <v>0</v>
      </c>
      <c r="AQ233" s="733"/>
      <c r="AS233" s="506">
        <f>SUM(AS11:AS232)</f>
        <v>0</v>
      </c>
      <c r="AU233" s="507">
        <f>SUM(AU11:AU232)</f>
        <v>0</v>
      </c>
    </row>
    <row r="234" spans="1:47" ht="3" customHeight="1" x14ac:dyDescent="0.3">
      <c r="B234" s="125"/>
      <c r="C234" s="109"/>
      <c r="D234" s="115"/>
      <c r="E234" s="115"/>
      <c r="P234" s="108"/>
      <c r="Q234" s="108"/>
      <c r="T234" s="323"/>
      <c r="AC234" s="108"/>
      <c r="AD234" s="108"/>
      <c r="AE234" s="322"/>
      <c r="AS234" s="509"/>
      <c r="AT234" s="134"/>
      <c r="AU234" s="510"/>
    </row>
    <row r="235" spans="1:47" x14ac:dyDescent="0.3">
      <c r="A235" s="109" t="s">
        <v>676</v>
      </c>
      <c r="B235" s="160" t="s">
        <v>833</v>
      </c>
      <c r="C235" s="158"/>
      <c r="D235" s="170"/>
      <c r="E235" s="170"/>
      <c r="F235" s="298"/>
      <c r="G235" s="312"/>
      <c r="H235" s="159"/>
      <c r="I235" s="159"/>
      <c r="J235" s="159"/>
      <c r="K235" s="159"/>
      <c r="L235" s="159"/>
      <c r="M235" s="159"/>
      <c r="N235" s="159"/>
      <c r="O235" s="159"/>
      <c r="P235" s="727">
        <f>ROUND(P43+Q67+P76+P103+P151+P233,0)</f>
        <v>0</v>
      </c>
      <c r="Q235" s="727"/>
      <c r="R235" s="159"/>
      <c r="S235" s="159"/>
      <c r="T235" s="327"/>
      <c r="U235" s="159"/>
      <c r="V235" s="159"/>
      <c r="W235" s="159"/>
      <c r="X235" s="159"/>
      <c r="Y235" s="159"/>
      <c r="Z235" s="159"/>
      <c r="AA235" s="159"/>
      <c r="AB235" s="159"/>
      <c r="AC235" s="727">
        <f>ROUND(AD43+AC67+AC76+AC103+AC151+AC233,0)</f>
        <v>0</v>
      </c>
      <c r="AD235" s="727"/>
      <c r="AE235" s="328"/>
      <c r="AF235" s="159"/>
      <c r="AG235" s="159"/>
      <c r="AH235" s="159"/>
      <c r="AI235" s="159"/>
      <c r="AJ235" s="159"/>
      <c r="AK235" s="159"/>
      <c r="AL235" s="159"/>
      <c r="AM235" s="159"/>
      <c r="AN235" s="159"/>
      <c r="AO235" s="159"/>
      <c r="AP235" s="727">
        <f>ROUND(AQ43+AQ67+AP76+AP103+AP151+AP233,0)</f>
        <v>0</v>
      </c>
      <c r="AQ235" s="727"/>
    </row>
    <row r="236" spans="1:47" ht="3" customHeight="1" x14ac:dyDescent="0.3">
      <c r="B236" s="125"/>
      <c r="C236" s="109"/>
      <c r="D236" s="115"/>
      <c r="E236" s="115"/>
      <c r="P236" s="108"/>
      <c r="Q236" s="108"/>
      <c r="T236" s="323"/>
      <c r="AC236" s="108"/>
      <c r="AD236" s="108"/>
      <c r="AE236" s="322"/>
    </row>
    <row r="237" spans="1:47" x14ac:dyDescent="0.3">
      <c r="A237" s="109" t="s">
        <v>678</v>
      </c>
      <c r="B237" s="109" t="s">
        <v>779</v>
      </c>
      <c r="T237" s="323"/>
      <c r="AE237" s="322"/>
    </row>
    <row r="238" spans="1:47" ht="3" customHeight="1" x14ac:dyDescent="0.3">
      <c r="T238" s="323"/>
      <c r="AE238" s="322"/>
    </row>
    <row r="239" spans="1:47" x14ac:dyDescent="0.3">
      <c r="B239" s="106" t="s">
        <v>834</v>
      </c>
      <c r="C239" s="138"/>
      <c r="T239" s="323"/>
      <c r="AE239" s="322"/>
    </row>
    <row r="240" spans="1:47" x14ac:dyDescent="0.3">
      <c r="B240" s="138"/>
      <c r="C240" s="138" t="s">
        <v>685</v>
      </c>
      <c r="P240" s="731">
        <f>P235</f>
        <v>0</v>
      </c>
      <c r="Q240" s="731"/>
      <c r="T240" s="323"/>
      <c r="AC240" s="731">
        <f>AC235</f>
        <v>0</v>
      </c>
      <c r="AD240" s="731"/>
      <c r="AE240" s="322"/>
      <c r="AP240" s="728">
        <f>ROUND(SUM(P240:AC240),0)</f>
        <v>0</v>
      </c>
      <c r="AQ240" s="728"/>
    </row>
    <row r="241" spans="1:43" ht="14.4" x14ac:dyDescent="0.3">
      <c r="B241" s="138"/>
      <c r="C241" s="138" t="s">
        <v>686</v>
      </c>
      <c r="D241" s="139"/>
      <c r="E241" s="139"/>
      <c r="F241" s="299"/>
      <c r="G241" s="314"/>
      <c r="P241" s="731">
        <f>-AS233</f>
        <v>0</v>
      </c>
      <c r="Q241" s="731"/>
      <c r="T241" s="323"/>
      <c r="AC241" s="731">
        <f>-AU233</f>
        <v>0</v>
      </c>
      <c r="AD241" s="731"/>
      <c r="AE241" s="322"/>
      <c r="AP241" s="728">
        <f>ROUND(SUM(P241:AC241),0)</f>
        <v>0</v>
      </c>
      <c r="AQ241" s="728"/>
    </row>
    <row r="242" spans="1:43" ht="3" customHeight="1" x14ac:dyDescent="0.3">
      <c r="B242" s="138"/>
      <c r="C242" s="138"/>
      <c r="D242" s="139"/>
      <c r="E242" s="139"/>
      <c r="F242" s="299"/>
      <c r="G242" s="314"/>
      <c r="P242" s="141"/>
      <c r="Q242" s="141"/>
      <c r="T242" s="323"/>
      <c r="AC242" s="141"/>
      <c r="AD242" s="141"/>
      <c r="AE242" s="322"/>
      <c r="AP242" s="313"/>
      <c r="AQ242" s="313"/>
    </row>
    <row r="243" spans="1:43" ht="14.4" x14ac:dyDescent="0.3">
      <c r="B243" s="138" t="s">
        <v>687</v>
      </c>
      <c r="C243" s="138"/>
      <c r="D243" s="139"/>
      <c r="E243" s="139"/>
      <c r="F243" s="299"/>
      <c r="G243" s="314"/>
      <c r="P243" s="730">
        <f>P240+P241</f>
        <v>0</v>
      </c>
      <c r="Q243" s="730"/>
      <c r="T243" s="323"/>
      <c r="AC243" s="730">
        <f>AC240+AC241</f>
        <v>0</v>
      </c>
      <c r="AD243" s="730"/>
      <c r="AE243" s="322"/>
      <c r="AP243" s="729">
        <f>ROUND(SUM(P243:AC243),0)</f>
        <v>0</v>
      </c>
      <c r="AQ243" s="729"/>
    </row>
    <row r="244" spans="1:43" ht="3" customHeight="1" x14ac:dyDescent="0.3">
      <c r="B244" s="138"/>
      <c r="C244" s="138"/>
      <c r="D244" s="139"/>
      <c r="E244" s="139"/>
      <c r="F244" s="299"/>
      <c r="G244" s="314"/>
      <c r="T244" s="323"/>
      <c r="AE244" s="322"/>
    </row>
    <row r="245" spans="1:43" ht="14.4" x14ac:dyDescent="0.3">
      <c r="B245" s="142"/>
      <c r="C245" s="138" t="str">
        <f>CONCATENATE("SDSM&amp;T  Indirect  @ ",TEXT(INDIRECT,"0.0%"))</f>
        <v>SDSM&amp;T  Indirect  @ 42.0%</v>
      </c>
      <c r="D245" s="139"/>
      <c r="E245" s="139"/>
      <c r="F245" s="299"/>
      <c r="G245" s="314"/>
      <c r="P245" s="724">
        <f>ROUND(P243*INDIRECT,0)</f>
        <v>0</v>
      </c>
      <c r="Q245" s="724"/>
      <c r="T245" s="323"/>
      <c r="AC245" s="724">
        <f>ROUND(AC243*INDIRECT,0)</f>
        <v>0</v>
      </c>
      <c r="AD245" s="724"/>
      <c r="AE245" s="322"/>
      <c r="AP245" s="735">
        <f>ROUND(SUM(P245:AE245),0)</f>
        <v>0</v>
      </c>
      <c r="AQ245" s="735"/>
    </row>
    <row r="246" spans="1:43" ht="3" customHeight="1" x14ac:dyDescent="0.3">
      <c r="B246" s="138"/>
      <c r="C246" s="138"/>
      <c r="D246" s="139"/>
      <c r="E246" s="139"/>
      <c r="F246" s="299"/>
      <c r="G246" s="314"/>
      <c r="T246" s="323"/>
      <c r="AE246" s="322"/>
    </row>
    <row r="247" spans="1:43" x14ac:dyDescent="0.3">
      <c r="B247" s="142"/>
      <c r="D247" s="138" t="str">
        <f>"SDSM&amp;T Unrecovered Indirect @ "&amp;TEXT(--COSTSHARERATE,"0.0%")</f>
        <v>SDSM&amp;T Unrecovered Indirect @ 0.0%</v>
      </c>
      <c r="E247" s="138"/>
      <c r="F247" s="301"/>
      <c r="G247" s="143"/>
      <c r="P247" s="724">
        <f>-(P245-P249)</f>
        <v>0</v>
      </c>
      <c r="Q247" s="724"/>
      <c r="T247" s="323"/>
      <c r="AC247" s="724">
        <f>-P247</f>
        <v>0</v>
      </c>
      <c r="AD247" s="724"/>
      <c r="AE247" s="322"/>
      <c r="AP247" s="735">
        <f>ROUND(SUM(P247:AE247),0)</f>
        <v>0</v>
      </c>
      <c r="AQ247" s="735"/>
    </row>
    <row r="248" spans="1:43" ht="3" customHeight="1" x14ac:dyDescent="0.3">
      <c r="B248" s="138"/>
      <c r="C248" s="138"/>
      <c r="D248" s="139"/>
      <c r="E248" s="139"/>
      <c r="F248" s="299"/>
      <c r="G248" s="314"/>
      <c r="T248" s="323"/>
      <c r="AE248" s="322"/>
    </row>
    <row r="249" spans="1:43" ht="14.4" x14ac:dyDescent="0.3">
      <c r="B249" s="142"/>
      <c r="C249" s="138" t="str">
        <f>"SDSM&amp;T Indirect Recovered @ "&amp;TEXT(RECOVERED,"0.0%")</f>
        <v>SDSM&amp;T Indirect Recovered @ 42.0%</v>
      </c>
      <c r="D249" s="139"/>
      <c r="E249" s="139"/>
      <c r="F249" s="299"/>
      <c r="G249" s="314"/>
      <c r="P249" s="724">
        <f>ROUND(P243*RECOVERED,0)</f>
        <v>0</v>
      </c>
      <c r="Q249" s="724"/>
      <c r="T249" s="323"/>
      <c r="AC249" s="724"/>
      <c r="AD249" s="724"/>
      <c r="AE249" s="322"/>
      <c r="AP249" s="735">
        <f>ROUND(SUM(P249:AE249),0)</f>
        <v>0</v>
      </c>
      <c r="AQ249" s="735"/>
    </row>
    <row r="250" spans="1:43" ht="3" customHeight="1" x14ac:dyDescent="0.3">
      <c r="B250" s="134"/>
      <c r="C250" s="134"/>
      <c r="D250" s="144"/>
      <c r="E250" s="144"/>
      <c r="F250" s="302"/>
      <c r="G250" s="315"/>
      <c r="H250" s="134"/>
      <c r="I250" s="134"/>
      <c r="J250" s="134"/>
      <c r="K250" s="134"/>
      <c r="L250" s="134"/>
      <c r="M250" s="134"/>
      <c r="N250" s="134"/>
      <c r="O250" s="134"/>
      <c r="P250" s="141"/>
      <c r="Q250" s="141"/>
      <c r="R250" s="134"/>
      <c r="S250" s="134"/>
      <c r="T250" s="325"/>
      <c r="U250" s="134"/>
      <c r="V250" s="134"/>
      <c r="W250" s="134"/>
      <c r="X250" s="134"/>
      <c r="Y250" s="134"/>
      <c r="Z250" s="134"/>
      <c r="AA250" s="134"/>
      <c r="AB250" s="134"/>
      <c r="AC250" s="141"/>
      <c r="AD250" s="141"/>
      <c r="AE250" s="326"/>
      <c r="AF250" s="134"/>
      <c r="AG250" s="134"/>
      <c r="AH250" s="134"/>
      <c r="AI250" s="134"/>
      <c r="AJ250" s="134"/>
      <c r="AK250" s="134"/>
      <c r="AL250" s="134"/>
      <c r="AM250" s="134"/>
      <c r="AN250" s="134"/>
      <c r="AO250" s="134"/>
      <c r="AP250" s="313"/>
      <c r="AQ250" s="313"/>
    </row>
    <row r="251" spans="1:43" ht="14.4" x14ac:dyDescent="0.3">
      <c r="B251" s="158" t="str">
        <f>CONCATENATE("TOTAL ALL ",B237)</f>
        <v>TOTAL ALL INDIRECT COSTS</v>
      </c>
      <c r="C251" s="159"/>
      <c r="D251" s="172"/>
      <c r="E251" s="172"/>
      <c r="F251" s="303"/>
      <c r="G251" s="316"/>
      <c r="H251" s="159"/>
      <c r="I251" s="159"/>
      <c r="J251" s="159"/>
      <c r="K251" s="159"/>
      <c r="L251" s="159"/>
      <c r="M251" s="159"/>
      <c r="N251" s="159"/>
      <c r="O251" s="159"/>
      <c r="P251" s="727">
        <f>P249</f>
        <v>0</v>
      </c>
      <c r="Q251" s="727"/>
      <c r="R251" s="159"/>
      <c r="S251" s="159"/>
      <c r="T251" s="327"/>
      <c r="U251" s="159"/>
      <c r="V251" s="159"/>
      <c r="W251" s="159"/>
      <c r="X251" s="159"/>
      <c r="Y251" s="159"/>
      <c r="Z251" s="159"/>
      <c r="AA251" s="159"/>
      <c r="AB251" s="159"/>
      <c r="AC251" s="727">
        <f>SUM(AC245:AD250)</f>
        <v>0</v>
      </c>
      <c r="AD251" s="727"/>
      <c r="AE251" s="328"/>
      <c r="AF251" s="159"/>
      <c r="AG251" s="159"/>
      <c r="AH251" s="159"/>
      <c r="AI251" s="159"/>
      <c r="AJ251" s="159"/>
      <c r="AK251" s="159"/>
      <c r="AL251" s="159"/>
      <c r="AM251" s="159"/>
      <c r="AN251" s="159"/>
      <c r="AO251" s="159"/>
      <c r="AP251" s="733">
        <f>ROUND(SUM(P251:AE251),0)</f>
        <v>0</v>
      </c>
      <c r="AQ251" s="733"/>
    </row>
    <row r="252" spans="1:43" ht="3" customHeight="1" x14ac:dyDescent="0.3">
      <c r="D252" s="139"/>
      <c r="E252" s="139"/>
      <c r="F252" s="299"/>
      <c r="G252" s="314"/>
      <c r="T252" s="323"/>
      <c r="AE252" s="322"/>
    </row>
    <row r="253" spans="1:43" ht="14.4" x14ac:dyDescent="0.3">
      <c r="A253" s="109" t="s">
        <v>680</v>
      </c>
      <c r="B253" s="174" t="s">
        <v>835</v>
      </c>
      <c r="C253" s="159"/>
      <c r="D253" s="172"/>
      <c r="E253" s="172"/>
      <c r="F253" s="303"/>
      <c r="G253" s="316"/>
      <c r="H253" s="159"/>
      <c r="I253" s="159"/>
      <c r="J253" s="159"/>
      <c r="K253" s="159"/>
      <c r="L253" s="159"/>
      <c r="M253" s="159"/>
      <c r="N253" s="159"/>
      <c r="O253" s="159"/>
      <c r="P253" s="727">
        <f>ROUND(P251+P235,0)</f>
        <v>0</v>
      </c>
      <c r="Q253" s="727"/>
      <c r="R253" s="159"/>
      <c r="S253" s="159"/>
      <c r="T253" s="327"/>
      <c r="U253" s="159"/>
      <c r="V253" s="159"/>
      <c r="W253" s="159"/>
      <c r="X253" s="159"/>
      <c r="Y253" s="159"/>
      <c r="Z253" s="159"/>
      <c r="AA253" s="159"/>
      <c r="AB253" s="159"/>
      <c r="AC253" s="727">
        <f>ROUND(AC251+AC235,0)</f>
        <v>0</v>
      </c>
      <c r="AD253" s="727"/>
      <c r="AE253" s="328"/>
      <c r="AF253" s="159"/>
      <c r="AG253" s="159"/>
      <c r="AH253" s="159"/>
      <c r="AI253" s="159"/>
      <c r="AJ253" s="159"/>
      <c r="AK253" s="159"/>
      <c r="AL253" s="159"/>
      <c r="AM253" s="159"/>
      <c r="AN253" s="159"/>
      <c r="AO253" s="159"/>
      <c r="AP253" s="733">
        <f>ROUND(SUM(P253:AE253),0)</f>
        <v>0</v>
      </c>
      <c r="AQ253" s="733"/>
    </row>
    <row r="254" spans="1:43" ht="3" customHeight="1" x14ac:dyDescent="0.3">
      <c r="D254" s="139"/>
      <c r="E254" s="139"/>
      <c r="F254" s="299"/>
      <c r="G254" s="314"/>
      <c r="T254" s="323"/>
      <c r="AE254" s="322"/>
    </row>
    <row r="255" spans="1:43" x14ac:dyDescent="0.3">
      <c r="B255" s="125" t="s">
        <v>690</v>
      </c>
      <c r="C255" s="106" t="s">
        <v>691</v>
      </c>
      <c r="T255" s="323"/>
      <c r="AE255" s="322"/>
    </row>
    <row r="256" spans="1:43" ht="3" customHeight="1" x14ac:dyDescent="0.3">
      <c r="T256" s="323"/>
      <c r="AE256" s="322"/>
    </row>
    <row r="257" spans="1:43" x14ac:dyDescent="0.3">
      <c r="A257" s="109" t="s">
        <v>682</v>
      </c>
      <c r="B257" s="158" t="s">
        <v>836</v>
      </c>
      <c r="C257" s="158"/>
      <c r="D257" s="158"/>
      <c r="E257" s="158"/>
      <c r="F257" s="288"/>
      <c r="G257" s="309"/>
      <c r="H257" s="158"/>
      <c r="I257" s="158"/>
      <c r="J257" s="158"/>
      <c r="K257" s="158"/>
      <c r="L257" s="158"/>
      <c r="M257" s="158"/>
      <c r="N257" s="158"/>
      <c r="O257" s="159"/>
      <c r="P257" s="726">
        <f>ROUND(P253*Data!$E$36,0)</f>
        <v>0</v>
      </c>
      <c r="Q257" s="726"/>
      <c r="R257" s="158"/>
      <c r="S257" s="158"/>
      <c r="T257" s="439"/>
      <c r="U257" s="158"/>
      <c r="V257" s="158"/>
      <c r="W257" s="158"/>
      <c r="X257" s="158"/>
      <c r="Y257" s="158"/>
      <c r="Z257" s="158"/>
      <c r="AA257" s="158"/>
      <c r="AB257" s="727">
        <f>ROUND(AC253*Data!$E$36,0)</f>
        <v>0</v>
      </c>
      <c r="AC257" s="727"/>
      <c r="AD257" s="727"/>
      <c r="AE257" s="440"/>
      <c r="AF257" s="309"/>
      <c r="AG257" s="158"/>
      <c r="AH257" s="158"/>
      <c r="AI257" s="158"/>
      <c r="AJ257" s="158"/>
      <c r="AK257" s="158"/>
      <c r="AL257" s="158"/>
      <c r="AM257" s="158"/>
      <c r="AN257" s="158"/>
      <c r="AO257" s="159"/>
      <c r="AP257" s="726">
        <f>ROUND(AP253*Data!$E$36,0)</f>
        <v>0</v>
      </c>
      <c r="AQ257" s="726"/>
    </row>
    <row r="258" spans="1:43" ht="3" customHeight="1" x14ac:dyDescent="0.3">
      <c r="T258" s="323"/>
      <c r="AE258" s="322"/>
    </row>
    <row r="259" spans="1:43" x14ac:dyDescent="0.3">
      <c r="A259" s="109" t="s">
        <v>688</v>
      </c>
      <c r="B259" s="158" t="s">
        <v>837</v>
      </c>
      <c r="C259" s="158"/>
      <c r="D259" s="158"/>
      <c r="E259" s="158"/>
      <c r="F259" s="288"/>
      <c r="G259" s="309"/>
      <c r="H259" s="158"/>
      <c r="I259" s="158"/>
      <c r="J259" s="158"/>
      <c r="K259" s="158"/>
      <c r="L259" s="158"/>
      <c r="M259" s="158"/>
      <c r="N259" s="158"/>
      <c r="O259" s="158"/>
      <c r="P259" s="309"/>
      <c r="Q259" s="309">
        <f>P257+P253</f>
        <v>0</v>
      </c>
      <c r="R259" s="158"/>
      <c r="S259" s="158"/>
      <c r="T259" s="439"/>
      <c r="U259" s="158"/>
      <c r="V259" s="158"/>
      <c r="W259" s="158"/>
      <c r="X259" s="158"/>
      <c r="Y259" s="158"/>
      <c r="Z259" s="158"/>
      <c r="AA259" s="158"/>
      <c r="AB259" s="158"/>
      <c r="AC259" s="309"/>
      <c r="AD259" s="309">
        <f>AB257+AC253</f>
        <v>0</v>
      </c>
      <c r="AE259" s="441"/>
      <c r="AF259" s="158"/>
      <c r="AG259" s="158"/>
      <c r="AH259" s="158"/>
      <c r="AI259" s="158"/>
      <c r="AJ259" s="158"/>
      <c r="AK259" s="158"/>
      <c r="AL259" s="158"/>
      <c r="AM259" s="158"/>
      <c r="AN259" s="158"/>
      <c r="AO259" s="158"/>
      <c r="AP259" s="309"/>
      <c r="AQ259" s="309">
        <f>AP257+AP253</f>
        <v>0</v>
      </c>
    </row>
    <row r="260" spans="1:43" ht="5.25" customHeight="1" x14ac:dyDescent="0.3">
      <c r="T260" s="325"/>
      <c r="U260" s="134"/>
      <c r="V260" s="134"/>
      <c r="W260" s="134"/>
      <c r="X260" s="134"/>
      <c r="Y260" s="134"/>
      <c r="Z260" s="134"/>
      <c r="AA260" s="134"/>
      <c r="AB260" s="134"/>
      <c r="AC260" s="141"/>
      <c r="AD260" s="141"/>
      <c r="AE260" s="326"/>
    </row>
  </sheetData>
  <mergeCells count="464">
    <mergeCell ref="P157:Q157"/>
    <mergeCell ref="P158:Q158"/>
    <mergeCell ref="P159:Q159"/>
    <mergeCell ref="P230:Q230"/>
    <mergeCell ref="AC230:AD230"/>
    <mergeCell ref="AP225:AQ225"/>
    <mergeCell ref="AP226:AQ226"/>
    <mergeCell ref="AP227:AQ227"/>
    <mergeCell ref="P229:Q229"/>
    <mergeCell ref="AC229:AD229"/>
    <mergeCell ref="AP229:AQ229"/>
    <mergeCell ref="P228:Q228"/>
    <mergeCell ref="AC228:AD228"/>
    <mergeCell ref="AP228:AQ228"/>
    <mergeCell ref="P208:Q208"/>
    <mergeCell ref="AC208:AD208"/>
    <mergeCell ref="AP208:AQ208"/>
    <mergeCell ref="P224:Q224"/>
    <mergeCell ref="AC224:AD224"/>
    <mergeCell ref="AP224:AQ224"/>
    <mergeCell ref="P217:Q217"/>
    <mergeCell ref="AC217:AD217"/>
    <mergeCell ref="P209:Q209"/>
    <mergeCell ref="AC209:AD209"/>
    <mergeCell ref="AP231:AQ231"/>
    <mergeCell ref="P231:Q231"/>
    <mergeCell ref="P227:Q227"/>
    <mergeCell ref="AC227:AD227"/>
    <mergeCell ref="AC226:AD226"/>
    <mergeCell ref="AC225:AD225"/>
    <mergeCell ref="P225:Q225"/>
    <mergeCell ref="P160:Q160"/>
    <mergeCell ref="P161:Q161"/>
    <mergeCell ref="AP209:AQ209"/>
    <mergeCell ref="P215:Q215"/>
    <mergeCell ref="AC215:AD215"/>
    <mergeCell ref="AP215:AQ215"/>
    <mergeCell ref="P214:Q214"/>
    <mergeCell ref="AC214:AD214"/>
    <mergeCell ref="AP214:AQ214"/>
    <mergeCell ref="AP220:AQ220"/>
    <mergeCell ref="AP219:AQ219"/>
    <mergeCell ref="P218:Q218"/>
    <mergeCell ref="AC218:AD218"/>
    <mergeCell ref="AP218:AQ218"/>
    <mergeCell ref="P210:Q210"/>
    <mergeCell ref="AC210:AD210"/>
    <mergeCell ref="AP210:AQ210"/>
    <mergeCell ref="P253:Q253"/>
    <mergeCell ref="AC253:AD253"/>
    <mergeCell ref="AP253:AQ253"/>
    <mergeCell ref="P251:Q251"/>
    <mergeCell ref="AC251:AD251"/>
    <mergeCell ref="AP251:AQ251"/>
    <mergeCell ref="P245:Q245"/>
    <mergeCell ref="AC245:AD245"/>
    <mergeCell ref="AP245:AQ245"/>
    <mergeCell ref="P249:Q249"/>
    <mergeCell ref="AC249:AD249"/>
    <mergeCell ref="AP249:AQ249"/>
    <mergeCell ref="P247:Q247"/>
    <mergeCell ref="AC247:AD247"/>
    <mergeCell ref="AP247:AQ247"/>
    <mergeCell ref="AP217:AQ217"/>
    <mergeCell ref="P211:Q211"/>
    <mergeCell ref="AP230:AQ230"/>
    <mergeCell ref="AC211:AD211"/>
    <mergeCell ref="AP211:AQ211"/>
    <mergeCell ref="P223:Q223"/>
    <mergeCell ref="AC223:AD223"/>
    <mergeCell ref="AP223:AQ223"/>
    <mergeCell ref="P216:Q216"/>
    <mergeCell ref="AC216:AD216"/>
    <mergeCell ref="AP216:AQ216"/>
    <mergeCell ref="P219:Q219"/>
    <mergeCell ref="AC219:AD219"/>
    <mergeCell ref="AC220:AD220"/>
    <mergeCell ref="P220:Q220"/>
    <mergeCell ref="P226:Q226"/>
    <mergeCell ref="P205:Q205"/>
    <mergeCell ref="AC205:AD205"/>
    <mergeCell ref="AP205:AQ205"/>
    <mergeCell ref="P202:Q202"/>
    <mergeCell ref="AC202:AD202"/>
    <mergeCell ref="AP202:AQ202"/>
    <mergeCell ref="P207:Q207"/>
    <mergeCell ref="AC207:AD207"/>
    <mergeCell ref="AP207:AQ207"/>
    <mergeCell ref="P206:Q206"/>
    <mergeCell ref="AC206:AD206"/>
    <mergeCell ref="AP206:AQ206"/>
    <mergeCell ref="P199:Q199"/>
    <mergeCell ref="AC199:AD199"/>
    <mergeCell ref="AP199:AQ199"/>
    <mergeCell ref="P198:Q198"/>
    <mergeCell ref="AC198:AD198"/>
    <mergeCell ref="AP198:AQ198"/>
    <mergeCell ref="P201:Q201"/>
    <mergeCell ref="AC201:AD201"/>
    <mergeCell ref="AP201:AQ201"/>
    <mergeCell ref="P200:Q200"/>
    <mergeCell ref="AC200:AD200"/>
    <mergeCell ref="AP200:AQ200"/>
    <mergeCell ref="P193:Q193"/>
    <mergeCell ref="AC193:AD193"/>
    <mergeCell ref="AP193:AQ193"/>
    <mergeCell ref="P192:Q192"/>
    <mergeCell ref="AC192:AD192"/>
    <mergeCell ref="AP192:AQ192"/>
    <mergeCell ref="P197:Q197"/>
    <mergeCell ref="AC197:AD197"/>
    <mergeCell ref="AP197:AQ197"/>
    <mergeCell ref="P196:Q196"/>
    <mergeCell ref="AC196:AD196"/>
    <mergeCell ref="AP196:AQ196"/>
    <mergeCell ref="P184:Q184"/>
    <mergeCell ref="AC184:AD184"/>
    <mergeCell ref="AP184:AQ184"/>
    <mergeCell ref="P182:Q182"/>
    <mergeCell ref="AC182:AD182"/>
    <mergeCell ref="AP182:AQ182"/>
    <mergeCell ref="P191:Q191"/>
    <mergeCell ref="AC191:AD191"/>
    <mergeCell ref="AP191:AQ191"/>
    <mergeCell ref="P190:Q190"/>
    <mergeCell ref="AC190:AD190"/>
    <mergeCell ref="AP190:AQ190"/>
    <mergeCell ref="P189:Q189"/>
    <mergeCell ref="AC189:AD189"/>
    <mergeCell ref="AP189:AQ189"/>
    <mergeCell ref="P188:Q188"/>
    <mergeCell ref="AC188:AD188"/>
    <mergeCell ref="AP188:AQ188"/>
    <mergeCell ref="P187:Q187"/>
    <mergeCell ref="AC187:AD187"/>
    <mergeCell ref="AP187:AQ187"/>
    <mergeCell ref="P76:Q76"/>
    <mergeCell ref="P82:Q82"/>
    <mergeCell ref="P83:Q83"/>
    <mergeCell ref="AP40:AQ41"/>
    <mergeCell ref="AP64:AQ65"/>
    <mergeCell ref="AP61:AQ62"/>
    <mergeCell ref="AP49:AQ50"/>
    <mergeCell ref="AC52:AD52"/>
    <mergeCell ref="P55:Q55"/>
    <mergeCell ref="AC49:AD49"/>
    <mergeCell ref="P49:Q49"/>
    <mergeCell ref="P52:Q52"/>
    <mergeCell ref="P46:Q46"/>
    <mergeCell ref="AC46:AD46"/>
    <mergeCell ref="P43:Q43"/>
    <mergeCell ref="P75:Q75"/>
    <mergeCell ref="AC75:AD75"/>
    <mergeCell ref="AP75:AQ75"/>
    <mergeCell ref="AC81:AD81"/>
    <mergeCell ref="AP81:AQ81"/>
    <mergeCell ref="P42:Q42"/>
    <mergeCell ref="AC42:AD42"/>
    <mergeCell ref="AP42:AQ42"/>
    <mergeCell ref="P73:Q73"/>
    <mergeCell ref="AW9:BG9"/>
    <mergeCell ref="D2:AR2"/>
    <mergeCell ref="D4:AR4"/>
    <mergeCell ref="D5:AR5"/>
    <mergeCell ref="AS9:AU9"/>
    <mergeCell ref="H8:Q8"/>
    <mergeCell ref="H9:Q9"/>
    <mergeCell ref="U8:AD8"/>
    <mergeCell ref="U9:AD9"/>
    <mergeCell ref="AH8:AQ8"/>
    <mergeCell ref="AH9:AQ9"/>
    <mergeCell ref="P235:Q235"/>
    <mergeCell ref="AC235:AD235"/>
    <mergeCell ref="AP235:AQ235"/>
    <mergeCell ref="AP46:AQ47"/>
    <mergeCell ref="AP55:AQ56"/>
    <mergeCell ref="AP58:AQ59"/>
    <mergeCell ref="AP52:AQ53"/>
    <mergeCell ref="AC61:AD61"/>
    <mergeCell ref="AC55:AD55"/>
    <mergeCell ref="AC58:AD58"/>
    <mergeCell ref="P70:Q70"/>
    <mergeCell ref="P64:Q64"/>
    <mergeCell ref="P61:Q61"/>
    <mergeCell ref="P58:Q58"/>
    <mergeCell ref="P84:Q84"/>
    <mergeCell ref="AP178:AQ178"/>
    <mergeCell ref="P181:Q181"/>
    <mergeCell ref="P180:Q180"/>
    <mergeCell ref="AC180:AD180"/>
    <mergeCell ref="AP180:AQ180"/>
    <mergeCell ref="AP136:AQ136"/>
    <mergeCell ref="P135:Q135"/>
    <mergeCell ref="AC135:AD135"/>
    <mergeCell ref="P138:Q138"/>
    <mergeCell ref="BC11:BG11"/>
    <mergeCell ref="AC16:AD16"/>
    <mergeCell ref="AP16:AQ17"/>
    <mergeCell ref="AC13:AD13"/>
    <mergeCell ref="AP13:AQ14"/>
    <mergeCell ref="P11:Q11"/>
    <mergeCell ref="AP19:AQ20"/>
    <mergeCell ref="P40:Q40"/>
    <mergeCell ref="AC40:AD40"/>
    <mergeCell ref="AW11:BA11"/>
    <mergeCell ref="AP37:AQ38"/>
    <mergeCell ref="P34:Q34"/>
    <mergeCell ref="AC34:AD34"/>
    <mergeCell ref="AP34:AQ35"/>
    <mergeCell ref="P22:Q22"/>
    <mergeCell ref="AC22:AD22"/>
    <mergeCell ref="AP22:AQ23"/>
    <mergeCell ref="P25:Q25"/>
    <mergeCell ref="AC37:AD37"/>
    <mergeCell ref="AC11:AD11"/>
    <mergeCell ref="AP11:AQ11"/>
    <mergeCell ref="P28:Q28"/>
    <mergeCell ref="P31:Q31"/>
    <mergeCell ref="AC25:AD25"/>
    <mergeCell ref="AC28:AD28"/>
    <mergeCell ref="AC31:AD31"/>
    <mergeCell ref="AP25:AQ26"/>
    <mergeCell ref="AP28:AQ29"/>
    <mergeCell ref="AP31:AQ32"/>
    <mergeCell ref="AC19:AD19"/>
    <mergeCell ref="P72:Q72"/>
    <mergeCell ref="AP71:AQ71"/>
    <mergeCell ref="AC71:AD71"/>
    <mergeCell ref="AC72:AD72"/>
    <mergeCell ref="P37:Q37"/>
    <mergeCell ref="AC64:AD64"/>
    <mergeCell ref="P74:Q74"/>
    <mergeCell ref="AC70:AD70"/>
    <mergeCell ref="AP72:AQ72"/>
    <mergeCell ref="P71:Q71"/>
    <mergeCell ref="AP70:AQ70"/>
    <mergeCell ref="AC73:AD73"/>
    <mergeCell ref="AC74:AD74"/>
    <mergeCell ref="AP73:AQ73"/>
    <mergeCell ref="AP74:AQ74"/>
    <mergeCell ref="P121:Q121"/>
    <mergeCell ref="P130:Q130"/>
    <mergeCell ref="AP122:AQ122"/>
    <mergeCell ref="P125:Q125"/>
    <mergeCell ref="AC76:AD76"/>
    <mergeCell ref="AP76:AQ76"/>
    <mergeCell ref="AC83:AD83"/>
    <mergeCell ref="AC84:AD84"/>
    <mergeCell ref="AC96:AD96"/>
    <mergeCell ref="AP116:AQ116"/>
    <mergeCell ref="P117:Q117"/>
    <mergeCell ref="AP117:AQ117"/>
    <mergeCell ref="AC121:AD121"/>
    <mergeCell ref="AC118:AD118"/>
    <mergeCell ref="AP112:AQ112"/>
    <mergeCell ref="P112:Q112"/>
    <mergeCell ref="AP108:AQ108"/>
    <mergeCell ref="AC125:AD125"/>
    <mergeCell ref="AP113:AQ113"/>
    <mergeCell ref="AP107:AQ107"/>
    <mergeCell ref="AP118:AQ118"/>
    <mergeCell ref="AP119:AQ119"/>
    <mergeCell ref="AP125:AQ125"/>
    <mergeCell ref="AP120:AQ120"/>
    <mergeCell ref="AP121:AQ121"/>
    <mergeCell ref="AC126:AD126"/>
    <mergeCell ref="AP126:AQ126"/>
    <mergeCell ref="AC122:AD122"/>
    <mergeCell ref="AP109:AQ109"/>
    <mergeCell ref="AP110:AQ110"/>
    <mergeCell ref="AC116:AD116"/>
    <mergeCell ref="AC113:AD113"/>
    <mergeCell ref="AC112:AD112"/>
    <mergeCell ref="AC110:AD110"/>
    <mergeCell ref="AC120:AD120"/>
    <mergeCell ref="AC111:AD111"/>
    <mergeCell ref="AP111:AQ111"/>
    <mergeCell ref="AP233:AQ233"/>
    <mergeCell ref="AC162:AD162"/>
    <mergeCell ref="AP162:AQ162"/>
    <mergeCell ref="AC130:AD130"/>
    <mergeCell ref="AP130:AQ130"/>
    <mergeCell ref="AP129:AQ129"/>
    <mergeCell ref="AP128:AQ128"/>
    <mergeCell ref="AC150:AD150"/>
    <mergeCell ref="AC181:AD181"/>
    <mergeCell ref="AP181:AQ181"/>
    <mergeCell ref="AC231:AD231"/>
    <mergeCell ref="AC155:AD155"/>
    <mergeCell ref="AP155:AQ155"/>
    <mergeCell ref="AP146:AQ146"/>
    <mergeCell ref="AP148:AQ148"/>
    <mergeCell ref="AP135:AQ135"/>
    <mergeCell ref="AC144:AD144"/>
    <mergeCell ref="AP144:AQ144"/>
    <mergeCell ref="AC143:AD143"/>
    <mergeCell ref="AP143:AQ143"/>
    <mergeCell ref="AC139:AD139"/>
    <mergeCell ref="AP139:AQ139"/>
    <mergeCell ref="AC175:AD175"/>
    <mergeCell ref="AP175:AQ175"/>
    <mergeCell ref="AP166:AQ166"/>
    <mergeCell ref="P183:Q183"/>
    <mergeCell ref="AC183:AD183"/>
    <mergeCell ref="AP183:AQ183"/>
    <mergeCell ref="AP173:AQ173"/>
    <mergeCell ref="P172:Q172"/>
    <mergeCell ref="AC172:AD172"/>
    <mergeCell ref="P175:Q175"/>
    <mergeCell ref="AP172:AQ172"/>
    <mergeCell ref="P174:Q174"/>
    <mergeCell ref="AC174:AD174"/>
    <mergeCell ref="AP174:AQ174"/>
    <mergeCell ref="P179:Q179"/>
    <mergeCell ref="AC179:AD179"/>
    <mergeCell ref="AP179:AQ179"/>
    <mergeCell ref="P178:Q178"/>
    <mergeCell ref="AC178:AD178"/>
    <mergeCell ref="AC166:AD166"/>
    <mergeCell ref="P169:Q169"/>
    <mergeCell ref="AC169:AD169"/>
    <mergeCell ref="AP169:AQ169"/>
    <mergeCell ref="P166:Q166"/>
    <mergeCell ref="AP149:AQ149"/>
    <mergeCell ref="AP134:AQ134"/>
    <mergeCell ref="AP131:AQ131"/>
    <mergeCell ref="AP150:AQ150"/>
    <mergeCell ref="AC138:AD138"/>
    <mergeCell ref="AC171:AD171"/>
    <mergeCell ref="AP171:AQ171"/>
    <mergeCell ref="P170:Q170"/>
    <mergeCell ref="AC170:AD170"/>
    <mergeCell ref="AP170:AQ170"/>
    <mergeCell ref="AP164:AQ164"/>
    <mergeCell ref="P165:Q165"/>
    <mergeCell ref="AC165:AD165"/>
    <mergeCell ref="AP165:AQ165"/>
    <mergeCell ref="P164:Q164"/>
    <mergeCell ref="AC164:AD164"/>
    <mergeCell ref="P137:Q137"/>
    <mergeCell ref="AC156:AD156"/>
    <mergeCell ref="AP156:AQ156"/>
    <mergeCell ref="AC145:AD145"/>
    <mergeCell ref="AP145:AQ145"/>
    <mergeCell ref="AP151:AQ151"/>
    <mergeCell ref="AP138:AQ138"/>
    <mergeCell ref="P150:Q150"/>
    <mergeCell ref="P101:Q101"/>
    <mergeCell ref="P113:Q113"/>
    <mergeCell ref="P128:Q128"/>
    <mergeCell ref="P163:Q163"/>
    <mergeCell ref="AC163:AD163"/>
    <mergeCell ref="P171:Q171"/>
    <mergeCell ref="AP163:AQ163"/>
    <mergeCell ref="P162:Q162"/>
    <mergeCell ref="AP127:AQ127"/>
    <mergeCell ref="AP140:AQ140"/>
    <mergeCell ref="AC147:AD147"/>
    <mergeCell ref="AP147:AQ147"/>
    <mergeCell ref="AC129:AD129"/>
    <mergeCell ref="AC128:AD128"/>
    <mergeCell ref="P155:Q155"/>
    <mergeCell ref="P147:Q147"/>
    <mergeCell ref="P144:Q144"/>
    <mergeCell ref="AC146:AD146"/>
    <mergeCell ref="P148:Q148"/>
    <mergeCell ref="AC134:AD134"/>
    <mergeCell ref="AC149:AD149"/>
    <mergeCell ref="AP137:AQ137"/>
    <mergeCell ref="AC140:AD140"/>
    <mergeCell ref="P136:Q136"/>
    <mergeCell ref="P109:Q109"/>
    <mergeCell ref="AC109:AD109"/>
    <mergeCell ref="P110:Q110"/>
    <mergeCell ref="P107:Q107"/>
    <mergeCell ref="AC107:AD107"/>
    <mergeCell ref="AC173:AD173"/>
    <mergeCell ref="P143:Q143"/>
    <mergeCell ref="P145:Q145"/>
    <mergeCell ref="P139:Q139"/>
    <mergeCell ref="P140:Q140"/>
    <mergeCell ref="AC137:AD137"/>
    <mergeCell ref="AC148:AD148"/>
    <mergeCell ref="P126:Q126"/>
    <mergeCell ref="P127:Q127"/>
    <mergeCell ref="AC127:AD127"/>
    <mergeCell ref="P151:Q151"/>
    <mergeCell ref="P156:Q156"/>
    <mergeCell ref="AC117:AD117"/>
    <mergeCell ref="P134:Q134"/>
    <mergeCell ref="P129:Q129"/>
    <mergeCell ref="P146:Q146"/>
    <mergeCell ref="AC136:AD136"/>
    <mergeCell ref="P173:Q173"/>
    <mergeCell ref="P111:Q111"/>
    <mergeCell ref="P91:Q91"/>
    <mergeCell ref="AP84:AQ84"/>
    <mergeCell ref="P149:Q149"/>
    <mergeCell ref="P92:Q92"/>
    <mergeCell ref="AC92:AD92"/>
    <mergeCell ref="P96:Q96"/>
    <mergeCell ref="P131:Q131"/>
    <mergeCell ref="AC131:AD131"/>
    <mergeCell ref="P97:Q97"/>
    <mergeCell ref="AC97:AD97"/>
    <mergeCell ref="P102:Q102"/>
    <mergeCell ref="P98:Q98"/>
    <mergeCell ref="AC98:AD98"/>
    <mergeCell ref="P100:Q100"/>
    <mergeCell ref="AC108:AD108"/>
    <mergeCell ref="P122:Q122"/>
    <mergeCell ref="P116:Q116"/>
    <mergeCell ref="P118:Q118"/>
    <mergeCell ref="P120:Q120"/>
    <mergeCell ref="P119:Q119"/>
    <mergeCell ref="AC119:AD119"/>
    <mergeCell ref="AP102:AQ102"/>
    <mergeCell ref="P99:Q99"/>
    <mergeCell ref="P108:Q108"/>
    <mergeCell ref="AP103:AQ103"/>
    <mergeCell ref="AP101:AQ101"/>
    <mergeCell ref="AP99:AQ99"/>
    <mergeCell ref="AP98:AQ98"/>
    <mergeCell ref="AP100:AQ100"/>
    <mergeCell ref="AP92:AQ92"/>
    <mergeCell ref="AP97:AQ97"/>
    <mergeCell ref="AC82:AD82"/>
    <mergeCell ref="AC102:AD102"/>
    <mergeCell ref="AC99:AD99"/>
    <mergeCell ref="AC91:AD91"/>
    <mergeCell ref="AP91:AQ91"/>
    <mergeCell ref="AP96:AQ96"/>
    <mergeCell ref="AP82:AQ82"/>
    <mergeCell ref="AP83:AQ83"/>
    <mergeCell ref="AC101:AD101"/>
    <mergeCell ref="AC100:AD100"/>
    <mergeCell ref="AP87:AQ87"/>
    <mergeCell ref="AP88:AQ88"/>
    <mergeCell ref="AP89:AQ89"/>
    <mergeCell ref="AP90:AQ90"/>
    <mergeCell ref="P87:Q87"/>
    <mergeCell ref="P88:Q88"/>
    <mergeCell ref="P89:Q89"/>
    <mergeCell ref="P90:Q90"/>
    <mergeCell ref="P12:Q12"/>
    <mergeCell ref="AP257:AQ257"/>
    <mergeCell ref="P257:Q257"/>
    <mergeCell ref="AB257:AD257"/>
    <mergeCell ref="AP240:AQ240"/>
    <mergeCell ref="AP241:AQ241"/>
    <mergeCell ref="AP243:AQ243"/>
    <mergeCell ref="P103:Q103"/>
    <mergeCell ref="AC103:AD103"/>
    <mergeCell ref="P243:Q243"/>
    <mergeCell ref="AC243:AD243"/>
    <mergeCell ref="AC241:AD241"/>
    <mergeCell ref="AC240:AD240"/>
    <mergeCell ref="P233:Q233"/>
    <mergeCell ref="AC233:AD233"/>
    <mergeCell ref="AC151:AD151"/>
    <mergeCell ref="P240:Q240"/>
    <mergeCell ref="P241:Q241"/>
    <mergeCell ref="AC67:AD67"/>
    <mergeCell ref="P81:Q81"/>
  </mergeCells>
  <phoneticPr fontId="0" type="noConversion"/>
  <conditionalFormatting sqref="J13:K13">
    <cfRule type="expression" dxfId="696" priority="1033" stopIfTrue="1">
      <formula>CT13=2</formula>
    </cfRule>
  </conditionalFormatting>
  <conditionalFormatting sqref="J16:K16">
    <cfRule type="expression" dxfId="695" priority="737" stopIfTrue="1">
      <formula>CT16=2</formula>
    </cfRule>
  </conditionalFormatting>
  <conditionalFormatting sqref="J19:K19">
    <cfRule type="expression" dxfId="694" priority="715" stopIfTrue="1">
      <formula>CT19=2</formula>
    </cfRule>
  </conditionalFormatting>
  <conditionalFormatting sqref="J22:K22">
    <cfRule type="expression" dxfId="693" priority="693" stopIfTrue="1">
      <formula>CT22=2</formula>
    </cfRule>
  </conditionalFormatting>
  <conditionalFormatting sqref="J25:K25">
    <cfRule type="expression" dxfId="692" priority="521" stopIfTrue="1">
      <formula>CT25=2</formula>
    </cfRule>
  </conditionalFormatting>
  <conditionalFormatting sqref="J28:K28">
    <cfRule type="expression" dxfId="691" priority="490" stopIfTrue="1">
      <formula>CT28=2</formula>
    </cfRule>
  </conditionalFormatting>
  <conditionalFormatting sqref="J31:K31">
    <cfRule type="expression" dxfId="690" priority="459" stopIfTrue="1">
      <formula>CT31=2</formula>
    </cfRule>
  </conditionalFormatting>
  <conditionalFormatting sqref="J34:K34">
    <cfRule type="expression" dxfId="689" priority="671" stopIfTrue="1">
      <formula>CT34=2</formula>
    </cfRule>
  </conditionalFormatting>
  <conditionalFormatting sqref="J37:K37">
    <cfRule type="expression" dxfId="688" priority="649" stopIfTrue="1">
      <formula>CT37=2</formula>
    </cfRule>
  </conditionalFormatting>
  <conditionalFormatting sqref="J40:K40">
    <cfRule type="expression" dxfId="687" priority="627" stopIfTrue="1">
      <formula>CT40=2</formula>
    </cfRule>
  </conditionalFormatting>
  <conditionalFormatting sqref="J46:K46">
    <cfRule type="expression" dxfId="686" priority="605" stopIfTrue="1">
      <formula>CT46=2</formula>
    </cfRule>
  </conditionalFormatting>
  <conditionalFormatting sqref="J49:K49">
    <cfRule type="expression" dxfId="685" priority="583" stopIfTrue="1">
      <formula>CT49=2</formula>
    </cfRule>
  </conditionalFormatting>
  <conditionalFormatting sqref="J52:K52">
    <cfRule type="expression" dxfId="684" priority="195" stopIfTrue="1">
      <formula>CT52=2</formula>
    </cfRule>
  </conditionalFormatting>
  <conditionalFormatting sqref="J55:K55">
    <cfRule type="expression" dxfId="683" priority="1128" stopIfTrue="1">
      <formula>CT55=2</formula>
    </cfRule>
  </conditionalFormatting>
  <conditionalFormatting sqref="J58:K58">
    <cfRule type="expression" dxfId="682" priority="142" stopIfTrue="1">
      <formula>CT58=2</formula>
    </cfRule>
  </conditionalFormatting>
  <conditionalFormatting sqref="J61:K61">
    <cfRule type="expression" dxfId="681" priority="5" stopIfTrue="1">
      <formula>CT61=2</formula>
    </cfRule>
  </conditionalFormatting>
  <conditionalFormatting sqref="J64:K64">
    <cfRule type="expression" dxfId="680" priority="89" stopIfTrue="1">
      <formula>CT64=2</formula>
    </cfRule>
  </conditionalFormatting>
  <conditionalFormatting sqref="L13">
    <cfRule type="expression" dxfId="679" priority="1023" stopIfTrue="1">
      <formula>CY13=2</formula>
    </cfRule>
  </conditionalFormatting>
  <conditionalFormatting sqref="L16">
    <cfRule type="expression" dxfId="678" priority="729" stopIfTrue="1">
      <formula>CY16=2</formula>
    </cfRule>
  </conditionalFormatting>
  <conditionalFormatting sqref="L19">
    <cfRule type="expression" dxfId="677" priority="707" stopIfTrue="1">
      <formula>CY19=2</formula>
    </cfRule>
  </conditionalFormatting>
  <conditionalFormatting sqref="L22">
    <cfRule type="expression" dxfId="676" priority="685" stopIfTrue="1">
      <formula>CY22=2</formula>
    </cfRule>
  </conditionalFormatting>
  <conditionalFormatting sqref="L25">
    <cfRule type="expression" dxfId="675" priority="513" stopIfTrue="1">
      <formula>CY25=2</formula>
    </cfRule>
  </conditionalFormatting>
  <conditionalFormatting sqref="L28">
    <cfRule type="expression" dxfId="674" priority="482" stopIfTrue="1">
      <formula>CY28=2</formula>
    </cfRule>
  </conditionalFormatting>
  <conditionalFormatting sqref="L31">
    <cfRule type="expression" dxfId="673" priority="451" stopIfTrue="1">
      <formula>CY31=2</formula>
    </cfRule>
  </conditionalFormatting>
  <conditionalFormatting sqref="L34">
    <cfRule type="expression" dxfId="672" priority="663" stopIfTrue="1">
      <formula>CY34=2</formula>
    </cfRule>
  </conditionalFormatting>
  <conditionalFormatting sqref="L37">
    <cfRule type="expression" dxfId="671" priority="641" stopIfTrue="1">
      <formula>CY37=2</formula>
    </cfRule>
  </conditionalFormatting>
  <conditionalFormatting sqref="L40">
    <cfRule type="expression" dxfId="670" priority="619" stopIfTrue="1">
      <formula>CY40=2</formula>
    </cfRule>
  </conditionalFormatting>
  <conditionalFormatting sqref="L46">
    <cfRule type="expression" dxfId="669" priority="597" stopIfTrue="1">
      <formula>CY46=2</formula>
    </cfRule>
  </conditionalFormatting>
  <conditionalFormatting sqref="L49">
    <cfRule type="expression" dxfId="668" priority="575" stopIfTrue="1">
      <formula>CY49=2</formula>
    </cfRule>
  </conditionalFormatting>
  <conditionalFormatting sqref="L52">
    <cfRule type="expression" dxfId="667" priority="186" stopIfTrue="1">
      <formula>CY52=2</formula>
    </cfRule>
  </conditionalFormatting>
  <conditionalFormatting sqref="L55">
    <cfRule type="expression" dxfId="666" priority="1118" stopIfTrue="1">
      <formula>CY55=2</formula>
    </cfRule>
  </conditionalFormatting>
  <conditionalFormatting sqref="L58">
    <cfRule type="expression" dxfId="665" priority="133" stopIfTrue="1">
      <formula>CY58=2</formula>
    </cfRule>
  </conditionalFormatting>
  <conditionalFormatting sqref="L61">
    <cfRule type="expression" dxfId="664" priority="1" stopIfTrue="1">
      <formula>CY61=2</formula>
    </cfRule>
  </conditionalFormatting>
  <conditionalFormatting sqref="L64">
    <cfRule type="expression" dxfId="663" priority="80" stopIfTrue="1">
      <formula>CY64=2</formula>
    </cfRule>
  </conditionalFormatting>
  <conditionalFormatting sqref="L39:N39 Y39:AA39 AL39:AN39 L63:N63 Y63:AA63 AL63:AN63">
    <cfRule type="cellIs" dxfId="662" priority="1647" stopIfTrue="1" operator="greaterThan">
      <formula>9</formula>
    </cfRule>
  </conditionalFormatting>
  <conditionalFormatting sqref="N13">
    <cfRule type="expression" dxfId="661" priority="1029" stopIfTrue="1">
      <formula>CX13=2</formula>
    </cfRule>
  </conditionalFormatting>
  <conditionalFormatting sqref="N16">
    <cfRule type="expression" dxfId="660" priority="1010" stopIfTrue="1">
      <formula>CX16=2</formula>
    </cfRule>
  </conditionalFormatting>
  <conditionalFormatting sqref="N19">
    <cfRule type="expression" dxfId="659" priority="991" stopIfTrue="1">
      <formula>CX19=2</formula>
    </cfRule>
  </conditionalFormatting>
  <conditionalFormatting sqref="N22">
    <cfRule type="expression" dxfId="658" priority="972" stopIfTrue="1">
      <formula>CX22=2</formula>
    </cfRule>
  </conditionalFormatting>
  <conditionalFormatting sqref="N25">
    <cfRule type="expression" dxfId="657" priority="534" stopIfTrue="1">
      <formula>CX25=2</formula>
    </cfRule>
  </conditionalFormatting>
  <conditionalFormatting sqref="N28">
    <cfRule type="expression" dxfId="656" priority="503" stopIfTrue="1">
      <formula>CX28=2</formula>
    </cfRule>
  </conditionalFormatting>
  <conditionalFormatting sqref="N31">
    <cfRule type="expression" dxfId="655" priority="472" stopIfTrue="1">
      <formula>CX31=2</formula>
    </cfRule>
  </conditionalFormatting>
  <conditionalFormatting sqref="N34">
    <cfRule type="expression" dxfId="654" priority="1298" stopIfTrue="1">
      <formula>CX34=2</formula>
    </cfRule>
  </conditionalFormatting>
  <conditionalFormatting sqref="N37">
    <cfRule type="expression" dxfId="653" priority="953" stopIfTrue="1">
      <formula>CX37=2</formula>
    </cfRule>
  </conditionalFormatting>
  <conditionalFormatting sqref="N40">
    <cfRule type="expression" dxfId="652" priority="1272" stopIfTrue="1">
      <formula>CX40=2</formula>
    </cfRule>
  </conditionalFormatting>
  <conditionalFormatting sqref="N46">
    <cfRule type="expression" dxfId="651" priority="1259" stopIfTrue="1">
      <formula>CX46=2</formula>
    </cfRule>
  </conditionalFormatting>
  <conditionalFormatting sqref="N49">
    <cfRule type="expression" dxfId="650" priority="1246" stopIfTrue="1">
      <formula>CX49=2</formula>
    </cfRule>
  </conditionalFormatting>
  <conditionalFormatting sqref="N52">
    <cfRule type="expression" dxfId="649" priority="191" stopIfTrue="1">
      <formula>CX52=2</formula>
    </cfRule>
  </conditionalFormatting>
  <conditionalFormatting sqref="N55">
    <cfRule type="expression" dxfId="648" priority="1124" stopIfTrue="1">
      <formula>CX55=2</formula>
    </cfRule>
  </conditionalFormatting>
  <conditionalFormatting sqref="N58">
    <cfRule type="expression" dxfId="647" priority="138" stopIfTrue="1">
      <formula>CX58=2</formula>
    </cfRule>
  </conditionalFormatting>
  <conditionalFormatting sqref="N61">
    <cfRule type="expression" dxfId="646" priority="11" stopIfTrue="1">
      <formula>CX61=2</formula>
    </cfRule>
  </conditionalFormatting>
  <conditionalFormatting sqref="N64">
    <cfRule type="expression" dxfId="645" priority="85" stopIfTrue="1">
      <formula>CX64=2</formula>
    </cfRule>
  </conditionalFormatting>
  <conditionalFormatting sqref="W13">
    <cfRule type="expression" dxfId="644" priority="1639" stopIfTrue="1">
      <formula>DE13=2</formula>
    </cfRule>
  </conditionalFormatting>
  <conditionalFormatting sqref="W16 W19 W22 W25 W28 W31 W34 W37 W40">
    <cfRule type="expression" dxfId="643" priority="350" stopIfTrue="1">
      <formula>DG16=2</formula>
    </cfRule>
    <cfRule type="expression" dxfId="642" priority="356" stopIfTrue="1">
      <formula>DE16=2</formula>
    </cfRule>
  </conditionalFormatting>
  <conditionalFormatting sqref="W25">
    <cfRule type="expression" dxfId="641" priority="388" stopIfTrue="1">
      <formula>DE25=2</formula>
    </cfRule>
    <cfRule type="expression" dxfId="640" priority="382" stopIfTrue="1">
      <formula>DG25=2</formula>
    </cfRule>
  </conditionalFormatting>
  <conditionalFormatting sqref="W28">
    <cfRule type="expression" dxfId="639" priority="380" stopIfTrue="1">
      <formula>DE28=2</formula>
    </cfRule>
    <cfRule type="expression" dxfId="638" priority="374" stopIfTrue="1">
      <formula>DG28=2</formula>
    </cfRule>
  </conditionalFormatting>
  <conditionalFormatting sqref="W31">
    <cfRule type="expression" dxfId="637" priority="372" stopIfTrue="1">
      <formula>DE31=2</formula>
    </cfRule>
    <cfRule type="expression" dxfId="636" priority="366" stopIfTrue="1">
      <formula>DG31=2</formula>
    </cfRule>
  </conditionalFormatting>
  <conditionalFormatting sqref="W46">
    <cfRule type="expression" dxfId="635" priority="1540" stopIfTrue="1">
      <formula>DE46=2</formula>
    </cfRule>
  </conditionalFormatting>
  <conditionalFormatting sqref="W13:X13">
    <cfRule type="expression" dxfId="634" priority="929" stopIfTrue="1">
      <formula>DG13=2</formula>
    </cfRule>
  </conditionalFormatting>
  <conditionalFormatting sqref="W16:X16">
    <cfRule type="expression" dxfId="633" priority="901" stopIfTrue="1">
      <formula>DG16=2</formula>
    </cfRule>
    <cfRule type="expression" dxfId="632" priority="1594" stopIfTrue="1">
      <formula>DE16=2</formula>
    </cfRule>
  </conditionalFormatting>
  <conditionalFormatting sqref="W19:X19">
    <cfRule type="expression" dxfId="631" priority="873" stopIfTrue="1">
      <formula>DG19=2</formula>
    </cfRule>
    <cfRule type="expression" dxfId="630" priority="1588" stopIfTrue="1">
      <formula>DE19=2</formula>
    </cfRule>
  </conditionalFormatting>
  <conditionalFormatting sqref="W22:X22">
    <cfRule type="expression" dxfId="629" priority="845" stopIfTrue="1">
      <formula>DG22=2</formula>
    </cfRule>
    <cfRule type="expression" dxfId="628" priority="1582" stopIfTrue="1">
      <formula>DE22=2</formula>
    </cfRule>
  </conditionalFormatting>
  <conditionalFormatting sqref="W34:X34">
    <cfRule type="expression" dxfId="627" priority="364" stopIfTrue="1">
      <formula>DE34=2</formula>
    </cfRule>
    <cfRule type="expression" dxfId="626" priority="358" stopIfTrue="1">
      <formula>DG34=2</formula>
    </cfRule>
  </conditionalFormatting>
  <conditionalFormatting sqref="W37:X37">
    <cfRule type="expression" dxfId="625" priority="1570" stopIfTrue="1">
      <formula>DE37=2</formula>
    </cfRule>
    <cfRule type="expression" dxfId="624" priority="789" stopIfTrue="1">
      <formula>DG37=2</formula>
    </cfRule>
  </conditionalFormatting>
  <conditionalFormatting sqref="W40:X40">
    <cfRule type="expression" dxfId="623" priority="761" stopIfTrue="1">
      <formula>DG40=2</formula>
    </cfRule>
    <cfRule type="expression" dxfId="622" priority="1564" stopIfTrue="1">
      <formula>DE40=2</formula>
    </cfRule>
  </conditionalFormatting>
  <conditionalFormatting sqref="W49:X49">
    <cfRule type="expression" dxfId="621" priority="1495" stopIfTrue="1">
      <formula>DE49=2</formula>
    </cfRule>
  </conditionalFormatting>
  <conditionalFormatting sqref="W52:X52">
    <cfRule type="expression" dxfId="620" priority="1489" stopIfTrue="1">
      <formula>DE52=2</formula>
    </cfRule>
    <cfRule type="expression" dxfId="619" priority="1441" stopIfTrue="1">
      <formula>DG52=2</formula>
    </cfRule>
  </conditionalFormatting>
  <conditionalFormatting sqref="W55:X55">
    <cfRule type="expression" dxfId="618" priority="1435" stopIfTrue="1">
      <formula>DG55=2</formula>
    </cfRule>
    <cfRule type="expression" dxfId="617" priority="1483" stopIfTrue="1">
      <formula>DE55=2</formula>
    </cfRule>
    <cfRule type="expression" dxfId="616" priority="1115" stopIfTrue="1">
      <formula>DE55=2</formula>
    </cfRule>
    <cfRule type="expression" dxfId="615" priority="1109" stopIfTrue="1">
      <formula>DG55=2</formula>
    </cfRule>
  </conditionalFormatting>
  <conditionalFormatting sqref="W58:X58">
    <cfRule type="expression" dxfId="614" priority="1090" stopIfTrue="1">
      <formula>DG58=2</formula>
    </cfRule>
    <cfRule type="expression" dxfId="613" priority="1429" stopIfTrue="1">
      <formula>DG58=2</formula>
    </cfRule>
    <cfRule type="expression" dxfId="612" priority="1096" stopIfTrue="1">
      <formula>DE58=2</formula>
    </cfRule>
    <cfRule type="expression" dxfId="611" priority="1477" stopIfTrue="1">
      <formula>DE58=2</formula>
    </cfRule>
  </conditionalFormatting>
  <conditionalFormatting sqref="W61:X61">
    <cfRule type="expression" dxfId="610" priority="1077" stopIfTrue="1">
      <formula>DE61=2</formula>
    </cfRule>
    <cfRule type="expression" dxfId="609" priority="1071" stopIfTrue="1">
      <formula>DG61=2</formula>
    </cfRule>
    <cfRule type="expression" dxfId="608" priority="1471" stopIfTrue="1">
      <formula>DE61=2</formula>
    </cfRule>
    <cfRule type="expression" dxfId="607" priority="1423" stopIfTrue="1">
      <formula>DG61=2</formula>
    </cfRule>
  </conditionalFormatting>
  <conditionalFormatting sqref="W64:X64">
    <cfRule type="expression" dxfId="606" priority="1058" stopIfTrue="1">
      <formula>DE64=2</formula>
    </cfRule>
    <cfRule type="expression" dxfId="605" priority="1052" stopIfTrue="1">
      <formula>DG64=2</formula>
    </cfRule>
  </conditionalFormatting>
  <conditionalFormatting sqref="Y13 Y16 Y19 Y22 Y25 Y28 Y31 Y34 Y37 Y40">
    <cfRule type="expression" dxfId="604" priority="397" stopIfTrue="1">
      <formula>DL13=2</formula>
    </cfRule>
  </conditionalFormatting>
  <conditionalFormatting sqref="Y13">
    <cfRule type="expression" dxfId="603" priority="1633" stopIfTrue="1">
      <formula>DJ13=2</formula>
    </cfRule>
  </conditionalFormatting>
  <conditionalFormatting sqref="Y16">
    <cfRule type="expression" dxfId="602" priority="1593" stopIfTrue="1">
      <formula>DJ16=2</formula>
    </cfRule>
  </conditionalFormatting>
  <conditionalFormatting sqref="Y19">
    <cfRule type="expression" dxfId="601" priority="1587" stopIfTrue="1">
      <formula>DJ19=2</formula>
    </cfRule>
  </conditionalFormatting>
  <conditionalFormatting sqref="Y22">
    <cfRule type="expression" dxfId="600" priority="1581" stopIfTrue="1">
      <formula>DJ22=2</formula>
    </cfRule>
  </conditionalFormatting>
  <conditionalFormatting sqref="Y34">
    <cfRule type="expression" dxfId="599" priority="1575" stopIfTrue="1">
      <formula>DJ34=2</formula>
    </cfRule>
  </conditionalFormatting>
  <conditionalFormatting sqref="Y37">
    <cfRule type="expression" dxfId="598" priority="1569" stopIfTrue="1">
      <formula>DJ37=2</formula>
    </cfRule>
  </conditionalFormatting>
  <conditionalFormatting sqref="Y40">
    <cfRule type="expression" dxfId="597" priority="1563" stopIfTrue="1">
      <formula>DJ40=2</formula>
    </cfRule>
  </conditionalFormatting>
  <conditionalFormatting sqref="Y46">
    <cfRule type="expression" dxfId="596" priority="1534" stopIfTrue="1">
      <formula>DJ46=2</formula>
    </cfRule>
  </conditionalFormatting>
  <conditionalFormatting sqref="Y49 Y52 Y55 Y58 Y61 Y64">
    <cfRule type="expression" dxfId="595" priority="391" stopIfTrue="1">
      <formula>DJ49=2</formula>
    </cfRule>
  </conditionalFormatting>
  <conditionalFormatting sqref="Y52">
    <cfRule type="expression" dxfId="594" priority="1488" stopIfTrue="1">
      <formula>DJ52=2</formula>
    </cfRule>
    <cfRule type="expression" dxfId="593" priority="1331" stopIfTrue="1">
      <formula>DL52=2</formula>
    </cfRule>
  </conditionalFormatting>
  <conditionalFormatting sqref="Y55">
    <cfRule type="expression" dxfId="592" priority="1099" stopIfTrue="1">
      <formula>DL55=2</formula>
    </cfRule>
    <cfRule type="expression" dxfId="591" priority="1482" stopIfTrue="1">
      <formula>DJ55=2</formula>
    </cfRule>
    <cfRule type="expression" dxfId="590" priority="1114" stopIfTrue="1">
      <formula>DJ55=2</formula>
    </cfRule>
    <cfRule type="expression" dxfId="589" priority="1335" stopIfTrue="1">
      <formula>DL55=2</formula>
    </cfRule>
  </conditionalFormatting>
  <conditionalFormatting sqref="Y58">
    <cfRule type="expression" dxfId="588" priority="1080" stopIfTrue="1">
      <formula>DL58=2</formula>
    </cfRule>
    <cfRule type="expression" dxfId="587" priority="1476" stopIfTrue="1">
      <formula>DJ58=2</formula>
    </cfRule>
    <cfRule type="expression" dxfId="586" priority="1095" stopIfTrue="1">
      <formula>DJ58=2</formula>
    </cfRule>
    <cfRule type="expression" dxfId="585" priority="1339" stopIfTrue="1">
      <formula>DL58=2</formula>
    </cfRule>
  </conditionalFormatting>
  <conditionalFormatting sqref="Y61">
    <cfRule type="expression" dxfId="584" priority="1076" stopIfTrue="1">
      <formula>DJ61=2</formula>
    </cfRule>
    <cfRule type="expression" dxfId="583" priority="1470" stopIfTrue="1">
      <formula>DJ61=2</formula>
    </cfRule>
    <cfRule type="expression" dxfId="582" priority="1061" stopIfTrue="1">
      <formula>DL61=2</formula>
    </cfRule>
    <cfRule type="expression" dxfId="581" priority="1343" stopIfTrue="1">
      <formula>DL61=2</formula>
    </cfRule>
  </conditionalFormatting>
  <conditionalFormatting sqref="Y64">
    <cfRule type="expression" dxfId="580" priority="1057" stopIfTrue="1">
      <formula>DJ64=2</formula>
    </cfRule>
    <cfRule type="expression" dxfId="579" priority="1042" stopIfTrue="1">
      <formula>DL64=2</formula>
    </cfRule>
  </conditionalFormatting>
  <conditionalFormatting sqref="AA13">
    <cfRule type="expression" dxfId="578" priority="1634" stopIfTrue="1">
      <formula>DI13=2</formula>
    </cfRule>
    <cfRule type="expression" dxfId="577" priority="925" stopIfTrue="1">
      <formula>DK13=2</formula>
    </cfRule>
  </conditionalFormatting>
  <conditionalFormatting sqref="AA16 AA19 AA22 AA25 AA28 AA31 AA34 AA37 AA40">
    <cfRule type="expression" dxfId="576" priority="348" stopIfTrue="1">
      <formula>DI16=2</formula>
    </cfRule>
    <cfRule type="expression" dxfId="575" priority="339" stopIfTrue="1">
      <formula>DK16=2</formula>
    </cfRule>
  </conditionalFormatting>
  <conditionalFormatting sqref="AA16">
    <cfRule type="expression" dxfId="574" priority="897" stopIfTrue="1">
      <formula>DK16=2</formula>
    </cfRule>
    <cfRule type="expression" dxfId="573" priority="1590" stopIfTrue="1">
      <formula>DI16=2</formula>
    </cfRule>
  </conditionalFormatting>
  <conditionalFormatting sqref="AA19">
    <cfRule type="expression" dxfId="572" priority="869" stopIfTrue="1">
      <formula>DK19=2</formula>
    </cfRule>
    <cfRule type="expression" dxfId="571" priority="1584" stopIfTrue="1">
      <formula>DI19=2</formula>
    </cfRule>
  </conditionalFormatting>
  <conditionalFormatting sqref="AA22">
    <cfRule type="expression" dxfId="570" priority="841" stopIfTrue="1">
      <formula>DK22=2</formula>
    </cfRule>
    <cfRule type="expression" dxfId="569" priority="1578" stopIfTrue="1">
      <formula>DI22=2</formula>
    </cfRule>
  </conditionalFormatting>
  <conditionalFormatting sqref="AA34">
    <cfRule type="expression" dxfId="568" priority="813" stopIfTrue="1">
      <formula>DK34=2</formula>
    </cfRule>
    <cfRule type="expression" dxfId="567" priority="1572" stopIfTrue="1">
      <formula>DI34=2</formula>
    </cfRule>
  </conditionalFormatting>
  <conditionalFormatting sqref="AA37">
    <cfRule type="expression" dxfId="566" priority="1566" stopIfTrue="1">
      <formula>DI37=2</formula>
    </cfRule>
    <cfRule type="expression" dxfId="565" priority="785" stopIfTrue="1">
      <formula>DK37=2</formula>
    </cfRule>
  </conditionalFormatting>
  <conditionalFormatting sqref="AA40">
    <cfRule type="expression" dxfId="564" priority="757" stopIfTrue="1">
      <formula>DK40=2</formula>
    </cfRule>
    <cfRule type="expression" dxfId="563" priority="1560" stopIfTrue="1">
      <formula>DI40=2</formula>
    </cfRule>
  </conditionalFormatting>
  <conditionalFormatting sqref="AA46">
    <cfRule type="expression" dxfId="562" priority="1535" stopIfTrue="1">
      <formula>DI46=2</formula>
    </cfRule>
  </conditionalFormatting>
  <conditionalFormatting sqref="AA49">
    <cfRule type="expression" dxfId="561" priority="1491" stopIfTrue="1">
      <formula>DI49=2</formula>
    </cfRule>
  </conditionalFormatting>
  <conditionalFormatting sqref="AA52">
    <cfRule type="expression" dxfId="560" priority="1437" stopIfTrue="1">
      <formula>DK52=2</formula>
    </cfRule>
    <cfRule type="expression" dxfId="559" priority="1485" stopIfTrue="1">
      <formula>DI52=2</formula>
    </cfRule>
  </conditionalFormatting>
  <conditionalFormatting sqref="AA55">
    <cfRule type="expression" dxfId="558" priority="1431" stopIfTrue="1">
      <formula>DK55=2</formula>
    </cfRule>
    <cfRule type="expression" dxfId="557" priority="1479" stopIfTrue="1">
      <formula>DI55=2</formula>
    </cfRule>
    <cfRule type="expression" dxfId="556" priority="1111" stopIfTrue="1">
      <formula>DI55=2</formula>
    </cfRule>
    <cfRule type="expression" dxfId="555" priority="1105" stopIfTrue="1">
      <formula>DK55=2</formula>
    </cfRule>
  </conditionalFormatting>
  <conditionalFormatting sqref="AA58">
    <cfRule type="expression" dxfId="554" priority="1425" stopIfTrue="1">
      <formula>DK58=2</formula>
    </cfRule>
    <cfRule type="expression" dxfId="553" priority="1086" stopIfTrue="1">
      <formula>DK58=2</formula>
    </cfRule>
    <cfRule type="expression" dxfId="552" priority="1473" stopIfTrue="1">
      <formula>DI58=2</formula>
    </cfRule>
    <cfRule type="expression" dxfId="551" priority="1092" stopIfTrue="1">
      <formula>DI58=2</formula>
    </cfRule>
  </conditionalFormatting>
  <conditionalFormatting sqref="AA61">
    <cfRule type="expression" dxfId="550" priority="1073" stopIfTrue="1">
      <formula>DI61=2</formula>
    </cfRule>
    <cfRule type="expression" dxfId="549" priority="1467" stopIfTrue="1">
      <formula>DI61=2</formula>
    </cfRule>
    <cfRule type="expression" dxfId="548" priority="1067" stopIfTrue="1">
      <formula>DK61=2</formula>
    </cfRule>
    <cfRule type="expression" dxfId="547" priority="1419" stopIfTrue="1">
      <formula>DK61=2</formula>
    </cfRule>
  </conditionalFormatting>
  <conditionalFormatting sqref="AA64">
    <cfRule type="expression" dxfId="546" priority="1054" stopIfTrue="1">
      <formula>DI64=2</formula>
    </cfRule>
    <cfRule type="expression" dxfId="545" priority="1048" stopIfTrue="1">
      <formula>DK64=2</formula>
    </cfRule>
  </conditionalFormatting>
  <dataValidations xWindow="579" yWindow="472" count="7">
    <dataValidation type="decimal" operator="lessThanOrEqual" allowBlank="1" showInputMessage="1" showErrorMessage="1" errorTitle="ERROR!" error="There are only 9 months (4.5 per semester) in an Academic Year. Please enter a number less than or equal to 9 in this box. If you need to use a full year (12 months) then please enter 9 in this box and 3 in Summer &quot;# Months&quot;" promptTitle="Academic Months" prompt="Please enter the number of academic calendar months (max of 9) in this box." sqref="U46 U49 U52 U55 U58 U61 U64" xr:uid="{00000000-0002-0000-0200-000000000000}">
      <formula1>9</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J34 AA13 W13 W40 W31 AA16 W16 AA19 W19 AA31 W28 AA34 W34 N22 J19 N34 J22 AA28 AA40 N19 J16 N16 W37 N13 J13 AA64 W64 W46 AA46 W49 AA49 N64 J64 AA52 W52 N55 J55 AA55 W55 AA61 W61 N52 J52 AA58 W58 N58 J58 N40 J37 N49 J46 N46 J40 AA37 J49 N25 J25 N28 J28 N31 J31 W22 W25 AA22 AA25 J61 N61" xr:uid="{00000000-0002-0000-0200-000001000000}"/>
    <dataValidation type="decimal" operator="lessThanOrEqual" allowBlank="1" showInputMessage="1" showErrorMessage="1" errorTitle="ERROR!" error="There are only 3 months in the summer portion of a Year. Please enter a number less than or equal to 3 in this box. If you need to use a full year (12 months) then please enter 3 in this box and 9 in Acad &quot;# Months&quot;" promptTitle="Summer Months" prompt="Please enter the number of summer calendar months (max of 3) in this box." sqref="Y46 Y49 Y52 Y55 Y58 Y61 Y64" xr:uid="{00000000-0002-0000-0200-000002000000}">
      <formula1>3</formula1>
    </dataValidation>
    <dataValidation type="list" allowBlank="1" showInputMessage="1" showErrorMessage="1" sqref="D16 D64 D58 D55 D31 D52 D40 D34 D19 D49 D37 D46 D22 D25 D28 D61 D13" xr:uid="{00000000-0002-0000-0200-000003000000}">
      <formula1>Faculty</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5) in this box." sqref="L58 L55 L64 L52" xr:uid="{00000000-0002-0000-0200-000004000000}">
      <formula1>3.5</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13 H16 H19 H22 H34 H37 H40 H31 H46 H25 H28 H49 H58 H55 U40 H64 H52 U13 U16 U19 U22 U25 U28 U31 U34 U37 H61" xr:uid="{00000000-0002-0000-0200-000005000000}">
      <formula1>9</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L13 L16 L19 L22 L34 L37 L40 L46 L49 L25 L28 L31 Y13 Y16 Y19 Y22 Y25 Y28 Y31 Y34 Y37 Y40 L61" xr:uid="{00000000-0002-0000-0200-000006000000}">
      <formula1>3</formula1>
    </dataValidation>
  </dataValidations>
  <printOptions horizontalCentered="1"/>
  <pageMargins left="0.5" right="0.5" top="0.5" bottom="0.5" header="0.5" footer="0.23"/>
  <pageSetup scale="93" fitToHeight="2" orientation="portrait" r:id="rId1"/>
  <headerFooter alignWithMargins="0">
    <oddFooter>&amp;L&amp;"-,Regular"&amp;8&amp;F/&amp;A&amp;C&amp;"Calibri,Regular"&amp;8Page &amp;P of &amp;N&amp;R&amp;"Calibri,Regular"&amp;8&amp;D</oddFooter>
  </headerFooter>
  <rowBreaks count="1" manualBreakCount="1">
    <brk id="233" max="43" man="1"/>
  </rowBreaks>
  <colBreaks count="1" manualBreakCount="1">
    <brk id="44" max="1048575" man="1"/>
  </colBreaks>
  <ignoredErrors>
    <ignoredError sqref="B79 B94 B154 B168 B177 B186 B195 B204 B213 B2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2:BR260"/>
  <sheetViews>
    <sheetView zoomScaleNormal="100" workbookViewId="0">
      <selection activeCell="D209" sqref="D209"/>
    </sheetView>
  </sheetViews>
  <sheetFormatPr defaultColWidth="11" defaultRowHeight="13.8" x14ac:dyDescent="0.3"/>
  <cols>
    <col min="1" max="1" width="2.6640625" style="106" bestFit="1" customWidth="1"/>
    <col min="2" max="2" width="3.77734375" style="106" customWidth="1"/>
    <col min="3" max="3" width="7.33203125" style="106" customWidth="1"/>
    <col min="4" max="4" width="29.44140625" style="106" customWidth="1"/>
    <col min="5" max="5" width="0.88671875" style="106" customWidth="1"/>
    <col min="6" max="6" width="8.88671875" style="107" customWidth="1"/>
    <col min="7" max="7" width="0.44140625" style="180" customWidth="1"/>
    <col min="8" max="8" width="5.21875" style="125" customWidth="1"/>
    <col min="9" max="9" width="0.88671875" style="125" customWidth="1"/>
    <col min="10" max="10" width="7.109375" style="125" customWidth="1"/>
    <col min="11" max="11" width="0.44140625" style="125" customWidth="1"/>
    <col min="12" max="12" width="4.21875" style="125" customWidth="1"/>
    <col min="13" max="13" width="1" style="125" customWidth="1"/>
    <col min="14" max="14" width="6.21875" style="125" customWidth="1"/>
    <col min="15" max="15" width="2" style="125" customWidth="1"/>
    <col min="16" max="16" width="3.33203125" style="180" customWidth="1"/>
    <col min="17" max="17" width="7.88671875" style="180" customWidth="1"/>
    <col min="18" max="18" width="1" style="125" customWidth="1"/>
    <col min="19" max="20" width="1" style="125" hidden="1" customWidth="1"/>
    <col min="21" max="21" width="4.44140625" style="125" hidden="1" customWidth="1"/>
    <col min="22" max="22" width="0.88671875" style="125" hidden="1" customWidth="1"/>
    <col min="23" max="23" width="5.109375" style="125" hidden="1" customWidth="1"/>
    <col min="24" max="24" width="0.44140625" style="125" hidden="1" customWidth="1"/>
    <col min="25" max="25" width="4.44140625" style="125" hidden="1" customWidth="1"/>
    <col min="26" max="26" width="1" style="125" hidden="1" customWidth="1"/>
    <col min="27" max="27" width="6.21875" style="125" hidden="1" customWidth="1"/>
    <col min="28" max="28" width="1.33203125" style="125" hidden="1" customWidth="1"/>
    <col min="29" max="29" width="3.33203125" style="180" hidden="1" customWidth="1"/>
    <col min="30" max="30" width="7.88671875" style="180" hidden="1" customWidth="1"/>
    <col min="31" max="33" width="1" style="125" hidden="1" customWidth="1"/>
    <col min="34" max="34" width="8.21875" style="125" hidden="1" customWidth="1"/>
    <col min="35" max="35" width="0.88671875" style="125" hidden="1" customWidth="1"/>
    <col min="36" max="36" width="6.6640625" style="125" hidden="1" customWidth="1"/>
    <col min="37" max="37" width="0.44140625" style="125" hidden="1" customWidth="1"/>
    <col min="38" max="38" width="7.88671875" style="125" hidden="1" customWidth="1"/>
    <col min="39" max="39" width="1" style="125" hidden="1" customWidth="1"/>
    <col min="40" max="40" width="6.21875" style="125" hidden="1" customWidth="1"/>
    <col min="41" max="41" width="1.33203125" style="125" hidden="1" customWidth="1"/>
    <col min="42" max="42" width="3.33203125" style="278" hidden="1" customWidth="1"/>
    <col min="43" max="43" width="10.21875" style="278" hidden="1" customWidth="1"/>
    <col min="44" max="44" width="1.33203125" style="125" customWidth="1"/>
    <col min="45" max="45" width="8.44140625" style="125" customWidth="1"/>
    <col min="46" max="46" width="1.109375" style="125" customWidth="1"/>
    <col min="47" max="47" width="8.109375" style="125" customWidth="1"/>
    <col min="48" max="48" width="1.6640625" style="106" hidden="1" customWidth="1"/>
    <col min="49" max="49" width="8.88671875" style="107" hidden="1" customWidth="1"/>
    <col min="50" max="50" width="1.21875" style="106" hidden="1" customWidth="1"/>
    <col min="51" max="51" width="9.109375" style="107" hidden="1" customWidth="1"/>
    <col min="52" max="52" width="1.33203125" style="106" hidden="1" customWidth="1"/>
    <col min="53" max="53" width="7.44140625" style="108" hidden="1" customWidth="1"/>
    <col min="54" max="54" width="4.21875" style="106" hidden="1" customWidth="1"/>
    <col min="55" max="55" width="8.77734375" style="107" hidden="1" customWidth="1"/>
    <col min="56" max="56" width="1.109375" style="106" hidden="1" customWidth="1"/>
    <col min="57" max="57" width="11" style="106" hidden="1" customWidth="1"/>
    <col min="58" max="58" width="1.44140625" style="106" hidden="1" customWidth="1"/>
    <col min="59" max="59" width="11" style="109" hidden="1" customWidth="1"/>
    <col min="60" max="60" width="1.6640625" style="106" hidden="1" customWidth="1"/>
    <col min="61" max="61" width="11" style="106" customWidth="1"/>
    <col min="62" max="62" width="1.33203125" style="106" hidden="1" customWidth="1"/>
    <col min="63" max="70" width="11" style="106" hidden="1" customWidth="1"/>
    <col min="71" max="16384" width="11" style="106"/>
  </cols>
  <sheetData>
    <row r="2" spans="1:59" ht="21" x14ac:dyDescent="0.4">
      <c r="D2" s="745" t="s">
        <v>781</v>
      </c>
      <c r="E2" s="745"/>
      <c r="F2" s="745"/>
      <c r="G2" s="745"/>
      <c r="H2" s="745"/>
      <c r="I2" s="745"/>
      <c r="J2" s="745"/>
      <c r="K2" s="745"/>
      <c r="L2" s="745"/>
      <c r="M2" s="745"/>
      <c r="N2" s="745"/>
      <c r="O2" s="745"/>
      <c r="P2" s="745"/>
      <c r="Q2" s="745"/>
      <c r="R2" s="745"/>
      <c r="S2" s="745"/>
      <c r="T2" s="745"/>
      <c r="U2" s="745"/>
      <c r="V2" s="745"/>
      <c r="W2" s="745"/>
      <c r="X2" s="745"/>
      <c r="Y2" s="745"/>
      <c r="Z2" s="747"/>
      <c r="AA2" s="747"/>
      <c r="AB2" s="747"/>
      <c r="AC2" s="747"/>
      <c r="AD2" s="747"/>
      <c r="AE2" s="747"/>
      <c r="AF2" s="747"/>
      <c r="AG2" s="747"/>
      <c r="AH2" s="747"/>
      <c r="AI2" s="747"/>
      <c r="AJ2" s="747"/>
      <c r="AK2" s="747"/>
      <c r="AL2" s="747"/>
      <c r="AM2" s="747"/>
      <c r="AN2" s="747"/>
      <c r="AO2" s="747"/>
      <c r="AP2" s="747"/>
      <c r="AQ2" s="747"/>
      <c r="AR2" s="747"/>
    </row>
    <row r="3" spans="1:59" hidden="1" x14ac:dyDescent="0.3"/>
    <row r="4" spans="1:59" ht="28.5" customHeight="1" x14ac:dyDescent="0.3">
      <c r="D4" s="749">
        <f>Title</f>
        <v>0</v>
      </c>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W4" s="107" t="s">
        <v>782</v>
      </c>
      <c r="AY4" s="107" t="s">
        <v>783</v>
      </c>
      <c r="BA4" s="108" t="s">
        <v>784</v>
      </c>
      <c r="BC4" s="107" t="str">
        <f>AW4</f>
        <v>Grant</v>
      </c>
      <c r="BE4" s="107" t="str">
        <f>AY4</f>
        <v>Match</v>
      </c>
      <c r="BG4" s="108" t="str">
        <f>BA4</f>
        <v>Total</v>
      </c>
    </row>
    <row r="5" spans="1:59" x14ac:dyDescent="0.3">
      <c r="D5" s="751" t="str">
        <f>"Year Two:  "&amp;TEXT(YR2Start,"mmmm dd, yyyy")&amp;" - "&amp;TEXT(YR2End,"mmmm dd, yyyy")</f>
        <v>Year Two:  December 31, 1900 - December 30, 1901</v>
      </c>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row>
    <row r="6" spans="1:59" s="467" customFormat="1" ht="3" customHeight="1" x14ac:dyDescent="0.3">
      <c r="D6" s="468"/>
      <c r="E6" s="468"/>
      <c r="F6" s="470"/>
      <c r="G6" s="469"/>
      <c r="H6" s="474"/>
      <c r="I6" s="474"/>
      <c r="J6" s="474"/>
      <c r="K6" s="474"/>
      <c r="L6" s="474"/>
      <c r="M6" s="474"/>
      <c r="N6" s="474"/>
      <c r="O6" s="474"/>
      <c r="P6" s="469"/>
      <c r="Q6" s="469"/>
      <c r="R6" s="474"/>
      <c r="S6" s="474"/>
      <c r="T6" s="474"/>
      <c r="U6" s="474"/>
      <c r="V6" s="474"/>
      <c r="W6" s="474"/>
      <c r="X6" s="474"/>
      <c r="Y6" s="474"/>
      <c r="Z6" s="474"/>
      <c r="AA6" s="474"/>
      <c r="AB6" s="474"/>
      <c r="AC6" s="469"/>
      <c r="AD6" s="469"/>
      <c r="AE6" s="474"/>
      <c r="AF6" s="474"/>
      <c r="AG6" s="474"/>
      <c r="AH6" s="474"/>
      <c r="AI6" s="474"/>
      <c r="AJ6" s="474"/>
      <c r="AK6" s="474"/>
      <c r="AL6" s="474"/>
      <c r="AM6" s="474"/>
      <c r="AN6" s="474"/>
      <c r="AO6" s="474"/>
      <c r="AP6" s="475"/>
      <c r="AQ6" s="475"/>
      <c r="AR6" s="474"/>
      <c r="AS6" s="474"/>
      <c r="AT6" s="474"/>
      <c r="AU6" s="474"/>
      <c r="AW6" s="470"/>
      <c r="AY6" s="470"/>
      <c r="BA6" s="471"/>
      <c r="BC6" s="470"/>
      <c r="BG6" s="476"/>
    </row>
    <row r="7" spans="1:59" ht="3" customHeight="1" x14ac:dyDescent="0.3">
      <c r="B7" s="21"/>
      <c r="C7" s="21"/>
      <c r="D7" s="21"/>
      <c r="E7" s="21"/>
      <c r="F7" s="21"/>
      <c r="G7" s="41"/>
      <c r="H7" s="41"/>
      <c r="I7" s="41"/>
      <c r="J7" s="41"/>
      <c r="K7" s="41"/>
      <c r="L7" s="41"/>
      <c r="M7" s="41"/>
      <c r="N7" s="41"/>
      <c r="O7" s="41"/>
      <c r="P7" s="389"/>
      <c r="T7" s="331"/>
      <c r="U7" s="297"/>
      <c r="V7" s="297"/>
      <c r="W7" s="297"/>
      <c r="X7" s="297"/>
      <c r="Y7" s="297"/>
      <c r="Z7" s="297"/>
      <c r="AA7" s="297"/>
      <c r="AB7" s="297"/>
      <c r="AC7" s="501"/>
      <c r="AD7" s="501"/>
      <c r="AE7" s="332"/>
    </row>
    <row r="8" spans="1:59" x14ac:dyDescent="0.3">
      <c r="H8" s="756" t="s">
        <v>180</v>
      </c>
      <c r="I8" s="756"/>
      <c r="J8" s="756"/>
      <c r="K8" s="756"/>
      <c r="L8" s="756"/>
      <c r="M8" s="756"/>
      <c r="N8" s="756"/>
      <c r="O8" s="756"/>
      <c r="P8" s="756"/>
      <c r="Q8" s="756"/>
      <c r="R8" s="279"/>
      <c r="S8" s="279"/>
      <c r="T8" s="333"/>
      <c r="U8" s="758" t="s">
        <v>182</v>
      </c>
      <c r="V8" s="758"/>
      <c r="W8" s="758"/>
      <c r="X8" s="758"/>
      <c r="Y8" s="758"/>
      <c r="Z8" s="758"/>
      <c r="AA8" s="758"/>
      <c r="AB8" s="758"/>
      <c r="AC8" s="758"/>
      <c r="AD8" s="758"/>
      <c r="AE8" s="334"/>
      <c r="AF8" s="279"/>
      <c r="AG8" s="279"/>
      <c r="AH8" s="760" t="s">
        <v>785</v>
      </c>
      <c r="AI8" s="760"/>
      <c r="AJ8" s="760"/>
      <c r="AK8" s="760"/>
      <c r="AL8" s="760"/>
      <c r="AM8" s="760"/>
      <c r="AN8" s="760"/>
      <c r="AO8" s="760"/>
      <c r="AP8" s="760"/>
      <c r="AQ8" s="760"/>
    </row>
    <row r="9" spans="1:59" ht="12" customHeight="1" x14ac:dyDescent="0.4">
      <c r="H9" s="757" t="s">
        <v>786</v>
      </c>
      <c r="I9" s="757"/>
      <c r="J9" s="757"/>
      <c r="K9" s="757"/>
      <c r="L9" s="757"/>
      <c r="M9" s="757"/>
      <c r="N9" s="757"/>
      <c r="O9" s="757"/>
      <c r="P9" s="757"/>
      <c r="Q9" s="757"/>
      <c r="R9" s="280"/>
      <c r="S9" s="280"/>
      <c r="T9" s="335"/>
      <c r="U9" s="759" t="s">
        <v>787</v>
      </c>
      <c r="V9" s="759"/>
      <c r="W9" s="759"/>
      <c r="X9" s="759"/>
      <c r="Y9" s="759"/>
      <c r="Z9" s="759"/>
      <c r="AA9" s="759"/>
      <c r="AB9" s="759"/>
      <c r="AC9" s="759"/>
      <c r="AD9" s="759"/>
      <c r="AE9" s="336"/>
      <c r="AH9" s="760" t="s">
        <v>784</v>
      </c>
      <c r="AI9" s="760"/>
      <c r="AJ9" s="760"/>
      <c r="AK9" s="760"/>
      <c r="AL9" s="760"/>
      <c r="AM9" s="760"/>
      <c r="AN9" s="760"/>
      <c r="AO9" s="760"/>
      <c r="AP9" s="760"/>
      <c r="AQ9" s="760"/>
      <c r="AS9" s="769" t="s">
        <v>788</v>
      </c>
      <c r="AT9" s="770"/>
      <c r="AU9" s="771"/>
      <c r="AW9" s="766" t="s">
        <v>789</v>
      </c>
      <c r="AX9" s="766"/>
      <c r="AY9" s="766"/>
      <c r="AZ9" s="766"/>
      <c r="BA9" s="766"/>
      <c r="BB9" s="766"/>
      <c r="BC9" s="766"/>
      <c r="BD9" s="766"/>
      <c r="BE9" s="766"/>
      <c r="BF9" s="766"/>
      <c r="BG9" s="766"/>
    </row>
    <row r="10" spans="1:59" ht="3" customHeight="1" x14ac:dyDescent="0.3">
      <c r="T10" s="337"/>
      <c r="AE10" s="336"/>
      <c r="AS10" s="337"/>
      <c r="AU10" s="336"/>
    </row>
    <row r="11" spans="1:59" ht="36" customHeight="1" x14ac:dyDescent="0.3">
      <c r="D11" s="115"/>
      <c r="E11" s="115"/>
      <c r="F11" s="147" t="s">
        <v>790</v>
      </c>
      <c r="G11" s="394"/>
      <c r="H11" s="148" t="s">
        <v>150</v>
      </c>
      <c r="I11" s="114"/>
      <c r="J11" s="148" t="s">
        <v>791</v>
      </c>
      <c r="K11" s="114"/>
      <c r="L11" s="148" t="s">
        <v>792</v>
      </c>
      <c r="M11" s="114"/>
      <c r="N11" s="148" t="s">
        <v>791</v>
      </c>
      <c r="O11" s="114"/>
      <c r="P11" s="741" t="s">
        <v>793</v>
      </c>
      <c r="Q11" s="741"/>
      <c r="R11" s="280"/>
      <c r="S11" s="280"/>
      <c r="T11" s="335"/>
      <c r="U11" s="282" t="str">
        <f>H11</f>
        <v>Acad</v>
      </c>
      <c r="V11" s="280"/>
      <c r="W11" s="282" t="str">
        <f>J11</f>
        <v>% Effort</v>
      </c>
      <c r="X11" s="280"/>
      <c r="Y11" s="282" t="str">
        <f>L11</f>
        <v>Sumr</v>
      </c>
      <c r="Z11" s="280"/>
      <c r="AA11" s="282" t="str">
        <f>N11</f>
        <v>% Effort</v>
      </c>
      <c r="AB11" s="280"/>
      <c r="AC11" s="767" t="str">
        <f>P11</f>
        <v>Requested Salary/Fringe</v>
      </c>
      <c r="AD11" s="767">
        <f>Q11</f>
        <v>0</v>
      </c>
      <c r="AE11" s="338"/>
      <c r="AF11" s="280"/>
      <c r="AG11" s="280"/>
      <c r="AH11" s="282" t="str">
        <f>H11</f>
        <v>Acad</v>
      </c>
      <c r="AI11" s="280"/>
      <c r="AJ11" s="282" t="str">
        <f>J11</f>
        <v>% Effort</v>
      </c>
      <c r="AK11" s="280"/>
      <c r="AL11" s="282" t="str">
        <f>L11</f>
        <v>Sumr</v>
      </c>
      <c r="AM11" s="280"/>
      <c r="AN11" s="282" t="str">
        <f>N11</f>
        <v>% Effort</v>
      </c>
      <c r="AO11" s="280"/>
      <c r="AP11" s="768" t="str">
        <f>AC11</f>
        <v>Requested Salary/Fringe</v>
      </c>
      <c r="AQ11" s="768">
        <f>AD11</f>
        <v>0</v>
      </c>
      <c r="AS11" s="516" t="s">
        <v>794</v>
      </c>
      <c r="AT11" s="512"/>
      <c r="AU11" s="517" t="s">
        <v>795</v>
      </c>
      <c r="AW11" s="740" t="s">
        <v>796</v>
      </c>
      <c r="AX11" s="740"/>
      <c r="AY11" s="740"/>
      <c r="AZ11" s="740"/>
      <c r="BA11" s="740"/>
      <c r="BC11" s="740" t="s">
        <v>712</v>
      </c>
      <c r="BD11" s="740"/>
      <c r="BE11" s="740"/>
      <c r="BF11" s="740"/>
      <c r="BG11" s="740"/>
    </row>
    <row r="12" spans="1:59" x14ac:dyDescent="0.3">
      <c r="A12" s="118" t="s">
        <v>180</v>
      </c>
      <c r="B12" s="109" t="s">
        <v>797</v>
      </c>
      <c r="D12" s="115"/>
      <c r="E12" s="115"/>
      <c r="O12" s="283"/>
      <c r="T12" s="337"/>
      <c r="AE12" s="336"/>
      <c r="AS12" s="337"/>
      <c r="AU12" s="336"/>
    </row>
    <row r="13" spans="1:59" ht="14.25" customHeight="1" x14ac:dyDescent="0.3">
      <c r="B13" s="113"/>
      <c r="C13" s="125" t="str">
        <f>"PI ~ "</f>
        <v xml:space="preserve">PI ~ </v>
      </c>
      <c r="D13" s="21">
        <f>PI</f>
        <v>0</v>
      </c>
      <c r="F13" s="120">
        <f>ROUND((VLOOKUP(D13,Salaries!$A$3:$I$370,8,FALSE))*(1+COLA/100),0)</f>
        <v>0</v>
      </c>
      <c r="H13" s="385"/>
      <c r="I13" s="306"/>
      <c r="J13" s="307"/>
      <c r="K13" s="307"/>
      <c r="L13" s="385"/>
      <c r="M13" s="306"/>
      <c r="N13" s="307">
        <v>1</v>
      </c>
      <c r="O13" s="285"/>
      <c r="P13" s="739">
        <f>ROUND(F13/12*H13*J13+F13/12*L13*N13, 0)</f>
        <v>0</v>
      </c>
      <c r="Q13" s="739"/>
      <c r="T13" s="337"/>
      <c r="U13" s="385"/>
      <c r="V13" s="306"/>
      <c r="W13" s="307"/>
      <c r="X13" s="307"/>
      <c r="Y13" s="385"/>
      <c r="Z13" s="305"/>
      <c r="AA13" s="307"/>
      <c r="AC13" s="739">
        <f>ROUND((F13/12*U13*W13)+(F13/12*Y13*AA13),0)</f>
        <v>0</v>
      </c>
      <c r="AD13" s="739"/>
      <c r="AE13" s="336"/>
      <c r="AH13" s="152">
        <f>U13+H13</f>
        <v>0</v>
      </c>
      <c r="AI13" s="152"/>
      <c r="AJ13" s="286">
        <f>W13+J13</f>
        <v>0</v>
      </c>
      <c r="AK13" s="152"/>
      <c r="AL13" s="152">
        <f>Y13+L13</f>
        <v>0</v>
      </c>
      <c r="AM13" s="152"/>
      <c r="AN13" s="286">
        <f>AA13+N13</f>
        <v>1</v>
      </c>
      <c r="AO13" s="279"/>
      <c r="AP13" s="765">
        <f>ROUND(SUM(P13:Q14)+SUM(AC13:AD14),0)</f>
        <v>0</v>
      </c>
      <c r="AQ13" s="765"/>
      <c r="AS13" s="337"/>
      <c r="AU13" s="336"/>
      <c r="AW13" s="107">
        <f>Q13</f>
        <v>0</v>
      </c>
      <c r="AY13" s="107">
        <f>ROUND(AC13,0)</f>
        <v>0</v>
      </c>
      <c r="BA13" s="108">
        <f>ROUND(AY13+AW13,0)</f>
        <v>0</v>
      </c>
    </row>
    <row r="14" spans="1:59" x14ac:dyDescent="0.3">
      <c r="B14" s="119"/>
      <c r="C14" s="115"/>
      <c r="D14" s="106" t="str">
        <f>"Fringe @ "&amp;TEXT(FRINGE,"0.00%")</f>
        <v>Fringe @ 27.27%</v>
      </c>
      <c r="H14" s="121"/>
      <c r="I14" s="121"/>
      <c r="J14" s="121"/>
      <c r="K14" s="121"/>
      <c r="L14" s="121"/>
      <c r="M14" s="121"/>
      <c r="N14" s="121"/>
      <c r="O14" s="283"/>
      <c r="Q14" s="180">
        <f>ROUND(P13*FRINGE*(1+FrCOLA),0)</f>
        <v>0</v>
      </c>
      <c r="T14" s="337"/>
      <c r="U14" s="121"/>
      <c r="V14" s="121"/>
      <c r="W14" s="121"/>
      <c r="X14" s="121"/>
      <c r="Y14" s="121"/>
      <c r="Z14" s="121"/>
      <c r="AA14" s="121"/>
      <c r="AD14" s="180">
        <f>ROUND(AC13*FRINGE*(1+FrCOLA),0)</f>
        <v>0</v>
      </c>
      <c r="AE14" s="336"/>
      <c r="AH14" s="152"/>
      <c r="AI14" s="152"/>
      <c r="AJ14" s="152"/>
      <c r="AK14" s="152"/>
      <c r="AL14" s="152"/>
      <c r="AM14" s="152"/>
      <c r="AN14" s="152"/>
      <c r="AO14" s="279"/>
      <c r="AP14" s="765"/>
      <c r="AQ14" s="765"/>
      <c r="AS14" s="337"/>
      <c r="AU14" s="336"/>
      <c r="BC14" s="107">
        <f>ROUND(Q14,0)</f>
        <v>0</v>
      </c>
      <c r="BE14" s="107">
        <f>ROUND(AD14,0)</f>
        <v>0</v>
      </c>
      <c r="BG14" s="108">
        <f>ROUND(BE14+BC14,0)</f>
        <v>0</v>
      </c>
    </row>
    <row r="15" spans="1:59" ht="3" customHeight="1" x14ac:dyDescent="0.3">
      <c r="B15" s="119"/>
      <c r="C15" s="115"/>
      <c r="H15" s="121"/>
      <c r="I15" s="121"/>
      <c r="J15" s="121"/>
      <c r="K15" s="121"/>
      <c r="L15" s="121"/>
      <c r="M15" s="121"/>
      <c r="N15" s="121"/>
      <c r="O15" s="283"/>
      <c r="T15" s="337"/>
      <c r="U15" s="121"/>
      <c r="V15" s="121"/>
      <c r="W15" s="121"/>
      <c r="X15" s="121"/>
      <c r="Y15" s="121"/>
      <c r="Z15" s="121"/>
      <c r="AA15" s="121"/>
      <c r="AE15" s="336"/>
      <c r="AH15" s="152"/>
      <c r="AI15" s="152"/>
      <c r="AJ15" s="152"/>
      <c r="AK15" s="152"/>
      <c r="AL15" s="152"/>
      <c r="AM15" s="152"/>
      <c r="AN15" s="152"/>
      <c r="AO15" s="279"/>
      <c r="AP15" s="608"/>
      <c r="AQ15" s="608"/>
      <c r="AS15" s="337"/>
      <c r="AU15" s="336"/>
    </row>
    <row r="16" spans="1:59" ht="14.25" customHeight="1" x14ac:dyDescent="0.3">
      <c r="B16" s="113"/>
      <c r="C16" s="125" t="s">
        <v>798</v>
      </c>
      <c r="D16" s="21">
        <f>'YEAR 1'!D16</f>
        <v>0</v>
      </c>
      <c r="F16" s="120">
        <f>ROUND((VLOOKUP(D16,Salaries!$A$3:$I$370,8,FALSE))*(1+COLA/100),0)</f>
        <v>0</v>
      </c>
      <c r="H16" s="385"/>
      <c r="I16" s="306"/>
      <c r="J16" s="307"/>
      <c r="K16" s="307"/>
      <c r="L16" s="385">
        <v>0</v>
      </c>
      <c r="M16" s="306"/>
      <c r="N16" s="307">
        <v>0</v>
      </c>
      <c r="O16" s="285"/>
      <c r="P16" s="739">
        <f>ROUND(F16/12*H16*J16+F16/12*L16*N16, 0)</f>
        <v>0</v>
      </c>
      <c r="Q16" s="739"/>
      <c r="T16" s="337"/>
      <c r="U16" s="385"/>
      <c r="V16" s="306"/>
      <c r="W16" s="307"/>
      <c r="X16" s="307"/>
      <c r="Y16" s="385"/>
      <c r="Z16" s="305"/>
      <c r="AA16" s="307"/>
      <c r="AC16" s="739">
        <f>ROUND((F16/12*U16*W16)+(F16/12*Y16*AA16),0)</f>
        <v>0</v>
      </c>
      <c r="AD16" s="739"/>
      <c r="AE16" s="336"/>
      <c r="AH16" s="152">
        <f>U16+H16</f>
        <v>0</v>
      </c>
      <c r="AI16" s="152"/>
      <c r="AJ16" s="286">
        <f>W16+J16</f>
        <v>0</v>
      </c>
      <c r="AK16" s="152"/>
      <c r="AL16" s="152">
        <f>Y16+L16</f>
        <v>0</v>
      </c>
      <c r="AM16" s="152"/>
      <c r="AN16" s="286">
        <f>AA16+N16</f>
        <v>0</v>
      </c>
      <c r="AO16" s="279"/>
      <c r="AP16" s="765">
        <f>ROUND(SUM(P16:Q17)+SUM(AC16:AD17),0)</f>
        <v>0</v>
      </c>
      <c r="AQ16" s="765"/>
      <c r="AS16" s="337"/>
      <c r="AU16" s="336"/>
      <c r="AW16" s="107">
        <f>P16</f>
        <v>0</v>
      </c>
      <c r="AY16" s="107">
        <f>ROUND(AC16,0)</f>
        <v>0</v>
      </c>
      <c r="BA16" s="108">
        <f>ROUND(AY16+AW16,0)</f>
        <v>0</v>
      </c>
    </row>
    <row r="17" spans="3:59" ht="12.75" customHeight="1" x14ac:dyDescent="0.3">
      <c r="D17" s="106" t="str">
        <f>"Fringe @ "&amp;TEXT(FRINGE,"0.00%")</f>
        <v>Fringe @ 27.27%</v>
      </c>
      <c r="H17" s="121"/>
      <c r="I17" s="121"/>
      <c r="J17" s="121"/>
      <c r="K17" s="121"/>
      <c r="L17" s="121"/>
      <c r="M17" s="121"/>
      <c r="N17" s="121"/>
      <c r="O17" s="283"/>
      <c r="Q17" s="180">
        <f>ROUND(P16*FRINGE*(1+FrCOLA),0)</f>
        <v>0</v>
      </c>
      <c r="T17" s="337"/>
      <c r="U17" s="121"/>
      <c r="V17" s="121"/>
      <c r="W17" s="121"/>
      <c r="X17" s="121"/>
      <c r="Y17" s="121"/>
      <c r="Z17" s="121"/>
      <c r="AA17" s="121"/>
      <c r="AD17" s="180">
        <f>ROUND(AC16*FRINGE*(1+FrCOLA),0)</f>
        <v>0</v>
      </c>
      <c r="AE17" s="336"/>
      <c r="AH17" s="152"/>
      <c r="AI17" s="152"/>
      <c r="AJ17" s="152"/>
      <c r="AK17" s="152"/>
      <c r="AL17" s="152"/>
      <c r="AM17" s="152"/>
      <c r="AN17" s="152"/>
      <c r="AO17" s="279"/>
      <c r="AP17" s="765"/>
      <c r="AQ17" s="765"/>
      <c r="AS17" s="337"/>
      <c r="AU17" s="336"/>
      <c r="BC17" s="107">
        <f>ROUND(Q17,0)</f>
        <v>0</v>
      </c>
      <c r="BE17" s="107">
        <f>ROUND(AD17,0)</f>
        <v>0</v>
      </c>
      <c r="BG17" s="108">
        <f>ROUND(BE17+BC17,0)</f>
        <v>0</v>
      </c>
    </row>
    <row r="18" spans="3:59" ht="3" customHeight="1" x14ac:dyDescent="0.3">
      <c r="D18" s="21"/>
      <c r="H18" s="121"/>
      <c r="I18" s="121"/>
      <c r="J18" s="121"/>
      <c r="K18" s="121"/>
      <c r="L18" s="121"/>
      <c r="M18" s="121"/>
      <c r="N18" s="121"/>
      <c r="O18" s="283"/>
      <c r="T18" s="337"/>
      <c r="U18" s="121"/>
      <c r="V18" s="121"/>
      <c r="W18" s="121"/>
      <c r="X18" s="121"/>
      <c r="Y18" s="121"/>
      <c r="Z18" s="121"/>
      <c r="AA18" s="121"/>
      <c r="AE18" s="336"/>
      <c r="AH18" s="152"/>
      <c r="AI18" s="152"/>
      <c r="AJ18" s="152"/>
      <c r="AK18" s="152"/>
      <c r="AL18" s="152"/>
      <c r="AM18" s="152"/>
      <c r="AN18" s="152"/>
      <c r="AO18" s="279"/>
      <c r="AS18" s="337"/>
      <c r="AU18" s="336"/>
    </row>
    <row r="19" spans="3:59" ht="14.25" customHeight="1" x14ac:dyDescent="0.3">
      <c r="C19" s="125" t="s">
        <v>798</v>
      </c>
      <c r="D19" s="21">
        <f>'YEAR 1'!D19</f>
        <v>0</v>
      </c>
      <c r="F19" s="120">
        <f>ROUND((VLOOKUP(D19,Salaries!$A$3:$I$370,8,FALSE))*(1+COLA/100),0)</f>
        <v>0</v>
      </c>
      <c r="H19" s="385"/>
      <c r="I19" s="306"/>
      <c r="J19" s="307"/>
      <c r="K19" s="307"/>
      <c r="L19" s="385">
        <v>0</v>
      </c>
      <c r="M19" s="306"/>
      <c r="N19" s="307">
        <v>0</v>
      </c>
      <c r="O19" s="285"/>
      <c r="P19" s="739">
        <f>ROUND(F19/12*H19*J19+F19/12*L19*N19, 0)</f>
        <v>0</v>
      </c>
      <c r="Q19" s="739"/>
      <c r="T19" s="337"/>
      <c r="U19" s="385"/>
      <c r="V19" s="306"/>
      <c r="W19" s="307"/>
      <c r="X19" s="307"/>
      <c r="Y19" s="385"/>
      <c r="Z19" s="305"/>
      <c r="AA19" s="307"/>
      <c r="AC19" s="739">
        <f>ROUND((F19/12*U19*W19)+(F19/12*Y19*AA19),0)</f>
        <v>0</v>
      </c>
      <c r="AD19" s="739"/>
      <c r="AE19" s="336"/>
      <c r="AH19" s="152">
        <f>U19+H19</f>
        <v>0</v>
      </c>
      <c r="AI19" s="152"/>
      <c r="AJ19" s="286">
        <f>W19+J19</f>
        <v>0</v>
      </c>
      <c r="AK19" s="152"/>
      <c r="AL19" s="152">
        <f>Y19+L19</f>
        <v>0</v>
      </c>
      <c r="AM19" s="152"/>
      <c r="AN19" s="286">
        <f>AA19+N19</f>
        <v>0</v>
      </c>
      <c r="AO19" s="279"/>
      <c r="AP19" s="765">
        <f>ROUND(SUM(P19:Q20)+SUM(AC19:AD20),0)</f>
        <v>0</v>
      </c>
      <c r="AQ19" s="765"/>
      <c r="AS19" s="337"/>
      <c r="AU19" s="336"/>
      <c r="AW19" s="107">
        <f>P19</f>
        <v>0</v>
      </c>
      <c r="AY19" s="107">
        <f>ROUND(AC19,0)</f>
        <v>0</v>
      </c>
      <c r="BA19" s="108">
        <f>ROUND(AY19+AW19,0)</f>
        <v>0</v>
      </c>
    </row>
    <row r="20" spans="3:59" ht="12.75" customHeight="1" x14ac:dyDescent="0.3">
      <c r="D20" s="106" t="str">
        <f>"Fringe @ "&amp;TEXT(FRINGE,"0.00%")</f>
        <v>Fringe @ 27.27%</v>
      </c>
      <c r="H20" s="121"/>
      <c r="I20" s="121"/>
      <c r="J20" s="121"/>
      <c r="K20" s="121"/>
      <c r="L20" s="121"/>
      <c r="M20" s="121"/>
      <c r="N20" s="121"/>
      <c r="O20" s="283"/>
      <c r="Q20" s="180">
        <f>ROUND(P19*FRINGE*(1+FrCOLA),0)</f>
        <v>0</v>
      </c>
      <c r="T20" s="337"/>
      <c r="U20" s="121"/>
      <c r="V20" s="121"/>
      <c r="W20" s="121"/>
      <c r="X20" s="121"/>
      <c r="Y20" s="121"/>
      <c r="Z20" s="121"/>
      <c r="AA20" s="121"/>
      <c r="AD20" s="180">
        <f>ROUND(AC19*FRINGE*(1+FrCOLA),0)</f>
        <v>0</v>
      </c>
      <c r="AE20" s="336"/>
      <c r="AH20" s="152"/>
      <c r="AI20" s="152"/>
      <c r="AJ20" s="152"/>
      <c r="AK20" s="152"/>
      <c r="AL20" s="152"/>
      <c r="AM20" s="152"/>
      <c r="AN20" s="152"/>
      <c r="AO20" s="279"/>
      <c r="AP20" s="765"/>
      <c r="AQ20" s="765"/>
      <c r="AS20" s="337"/>
      <c r="AU20" s="336"/>
      <c r="BC20" s="107">
        <f>ROUND(Q20,0)</f>
        <v>0</v>
      </c>
      <c r="BE20" s="107">
        <f>ROUND(AD20,0)</f>
        <v>0</v>
      </c>
      <c r="BG20" s="108">
        <f>ROUND(BE20+BC20,0)</f>
        <v>0</v>
      </c>
    </row>
    <row r="21" spans="3:59" ht="3" hidden="1" customHeight="1" x14ac:dyDescent="0.3">
      <c r="H21" s="121"/>
      <c r="I21" s="121"/>
      <c r="J21" s="121"/>
      <c r="K21" s="121"/>
      <c r="L21" s="121"/>
      <c r="M21" s="121"/>
      <c r="N21" s="121"/>
      <c r="O21" s="283"/>
      <c r="T21" s="337"/>
      <c r="U21" s="121"/>
      <c r="V21" s="121"/>
      <c r="W21" s="121"/>
      <c r="X21" s="121"/>
      <c r="Y21" s="121"/>
      <c r="Z21" s="121"/>
      <c r="AA21" s="121"/>
      <c r="AE21" s="336"/>
      <c r="AH21" s="152"/>
      <c r="AI21" s="152"/>
      <c r="AJ21" s="152"/>
      <c r="AK21" s="152"/>
      <c r="AL21" s="152"/>
      <c r="AM21" s="152"/>
      <c r="AN21" s="152"/>
      <c r="AO21" s="279"/>
      <c r="AS21" s="337"/>
      <c r="AU21" s="336"/>
    </row>
    <row r="22" spans="3:59" ht="14.25" hidden="1" customHeight="1" x14ac:dyDescent="0.3">
      <c r="C22" s="125" t="s">
        <v>798</v>
      </c>
      <c r="D22" s="21">
        <f>'YEAR 1'!D22</f>
        <v>0</v>
      </c>
      <c r="F22" s="120">
        <f>ROUND((VLOOKUP(D22,Salaries!$A$3:$I$370,8,FALSE))*(1+COLA/100),0)</f>
        <v>0</v>
      </c>
      <c r="H22" s="385"/>
      <c r="I22" s="306"/>
      <c r="J22" s="307"/>
      <c r="K22" s="307"/>
      <c r="L22" s="385">
        <f>'YEAR 1'!L22</f>
        <v>0</v>
      </c>
      <c r="M22" s="306"/>
      <c r="N22" s="307">
        <f>'YEAR 1'!N22</f>
        <v>0</v>
      </c>
      <c r="O22" s="285"/>
      <c r="P22" s="739">
        <f>ROUND(F22/12*H22*J22+F22/12*L22*N22, 0)</f>
        <v>0</v>
      </c>
      <c r="Q22" s="739"/>
      <c r="T22" s="337"/>
      <c r="U22" s="385"/>
      <c r="V22" s="306"/>
      <c r="W22" s="307"/>
      <c r="X22" s="307"/>
      <c r="Y22" s="385"/>
      <c r="Z22" s="305"/>
      <c r="AA22" s="307"/>
      <c r="AC22" s="739">
        <f>ROUND((F22/12*U22*W22)+(F22/12*Y22*AA22),0)</f>
        <v>0</v>
      </c>
      <c r="AD22" s="739"/>
      <c r="AE22" s="336"/>
      <c r="AH22" s="152">
        <f>U22+H22</f>
        <v>0</v>
      </c>
      <c r="AI22" s="152"/>
      <c r="AJ22" s="286">
        <f>W22+J22</f>
        <v>0</v>
      </c>
      <c r="AK22" s="152"/>
      <c r="AL22" s="152">
        <f>Y22+L22</f>
        <v>0</v>
      </c>
      <c r="AM22" s="152"/>
      <c r="AN22" s="286">
        <f>AA22+N22</f>
        <v>0</v>
      </c>
      <c r="AO22" s="279"/>
      <c r="AP22" s="765">
        <f>ROUND(SUM(P22:Q23)+SUM(AC22:AD23),0)</f>
        <v>0</v>
      </c>
      <c r="AQ22" s="765"/>
      <c r="AS22" s="337"/>
      <c r="AU22" s="336"/>
      <c r="AW22" s="107">
        <f>P22</f>
        <v>0</v>
      </c>
      <c r="AY22" s="107">
        <f>ROUND(AC22,0)</f>
        <v>0</v>
      </c>
      <c r="BA22" s="108">
        <f>ROUND(AY22+AW22,0)</f>
        <v>0</v>
      </c>
    </row>
    <row r="23" spans="3:59" ht="12.75" hidden="1" customHeight="1" x14ac:dyDescent="0.3">
      <c r="D23" s="106" t="str">
        <f>"Fringe @ "&amp;TEXT(FRINGE,"0.00%")</f>
        <v>Fringe @ 27.27%</v>
      </c>
      <c r="H23" s="121"/>
      <c r="I23" s="121"/>
      <c r="J23" s="121"/>
      <c r="K23" s="121"/>
      <c r="L23" s="121"/>
      <c r="M23" s="121"/>
      <c r="N23" s="121"/>
      <c r="O23" s="283"/>
      <c r="Q23" s="180">
        <f>ROUND(P22*FRINGE*(1+FrCOLA),0)</f>
        <v>0</v>
      </c>
      <c r="T23" s="337"/>
      <c r="U23" s="121"/>
      <c r="V23" s="121"/>
      <c r="W23" s="121"/>
      <c r="X23" s="121"/>
      <c r="Y23" s="121"/>
      <c r="Z23" s="121"/>
      <c r="AA23" s="121"/>
      <c r="AD23" s="180">
        <f>ROUND(AC22*FRINGE*(1+FrCOLA),0)</f>
        <v>0</v>
      </c>
      <c r="AE23" s="336"/>
      <c r="AH23" s="152"/>
      <c r="AI23" s="152"/>
      <c r="AJ23" s="152"/>
      <c r="AK23" s="152"/>
      <c r="AL23" s="152"/>
      <c r="AM23" s="152"/>
      <c r="AN23" s="152"/>
      <c r="AO23" s="279"/>
      <c r="AP23" s="765"/>
      <c r="AQ23" s="765"/>
      <c r="AS23" s="337"/>
      <c r="AU23" s="336"/>
      <c r="BC23" s="107">
        <f>ROUND(Q23,0)</f>
        <v>0</v>
      </c>
      <c r="BE23" s="107">
        <f>ROUND(AD23,0)</f>
        <v>0</v>
      </c>
      <c r="BG23" s="108">
        <f>ROUND(BE23+BC23,0)</f>
        <v>0</v>
      </c>
    </row>
    <row r="24" spans="3:59" ht="3" hidden="1" customHeight="1" x14ac:dyDescent="0.3">
      <c r="H24" s="106"/>
      <c r="I24" s="106"/>
      <c r="J24" s="106"/>
      <c r="K24" s="106"/>
      <c r="L24" s="121"/>
      <c r="M24" s="121"/>
      <c r="N24" s="121"/>
      <c r="O24" s="122"/>
      <c r="T24" s="337"/>
      <c r="U24" s="106"/>
      <c r="V24" s="106"/>
      <c r="W24" s="106"/>
      <c r="X24" s="106"/>
      <c r="Y24" s="121"/>
      <c r="Z24" s="121"/>
      <c r="AA24" s="121"/>
      <c r="AE24" s="336"/>
      <c r="AH24" s="279"/>
      <c r="AI24" s="279"/>
      <c r="AJ24" s="279"/>
      <c r="AK24" s="279"/>
      <c r="AL24" s="152"/>
      <c r="AM24" s="152"/>
      <c r="AN24" s="152"/>
      <c r="AO24" s="279"/>
      <c r="AS24" s="337"/>
      <c r="AU24" s="336"/>
    </row>
    <row r="25" spans="3:59" ht="14.25" hidden="1" customHeight="1" x14ac:dyDescent="0.3">
      <c r="C25" s="125" t="s">
        <v>798</v>
      </c>
      <c r="D25" s="21">
        <f>'YEAR 1'!D25</f>
        <v>0</v>
      </c>
      <c r="F25" s="120">
        <f>ROUND((VLOOKUP(D25,Salaries!$A$3:$I$370,8,FALSE))*(1+COLA/100),0)</f>
        <v>0</v>
      </c>
      <c r="H25" s="385"/>
      <c r="I25" s="306"/>
      <c r="J25" s="307"/>
      <c r="K25" s="307"/>
      <c r="L25" s="385">
        <f>'YEAR 1'!L25</f>
        <v>0</v>
      </c>
      <c r="M25" s="306"/>
      <c r="N25" s="307">
        <f>'YEAR 1'!N25</f>
        <v>0</v>
      </c>
      <c r="O25" s="285"/>
      <c r="P25" s="739">
        <f>ROUND(F25/12*H25*J25+F25/12*L25*N25, 0)</f>
        <v>0</v>
      </c>
      <c r="Q25" s="739"/>
      <c r="T25" s="337"/>
      <c r="U25" s="385"/>
      <c r="V25" s="306"/>
      <c r="W25" s="307"/>
      <c r="X25" s="307"/>
      <c r="Y25" s="385"/>
      <c r="Z25" s="305"/>
      <c r="AA25" s="307"/>
      <c r="AC25" s="739">
        <f>ROUND((VLOOKUP($D25,Salaries!$A$3:$I$370,9,FALSE)*U25*W25*(1+COLA/100))+(VLOOKUP($D25,Salaries!$A$3:$I$370,9,FALSE)*Y25*AA25*(1+COLA/100)),0)</f>
        <v>0</v>
      </c>
      <c r="AD25" s="739"/>
      <c r="AE25" s="336"/>
      <c r="AH25" s="152">
        <f>U25+H25</f>
        <v>0</v>
      </c>
      <c r="AI25" s="152"/>
      <c r="AJ25" s="286">
        <f>W25+J25</f>
        <v>0</v>
      </c>
      <c r="AK25" s="152"/>
      <c r="AL25" s="152">
        <f>Y25+L25</f>
        <v>0</v>
      </c>
      <c r="AM25" s="152"/>
      <c r="AN25" s="286">
        <f>AA25+N25</f>
        <v>0</v>
      </c>
      <c r="AO25" s="279"/>
      <c r="AP25" s="765">
        <f>ROUND(SUM(P25:Q26)+SUM(AC25:AD26),0)</f>
        <v>0</v>
      </c>
      <c r="AQ25" s="765"/>
      <c r="AS25" s="337"/>
      <c r="AU25" s="336"/>
      <c r="AW25" s="107">
        <f>P25</f>
        <v>0</v>
      </c>
      <c r="AY25" s="107">
        <f>ROUND(AC25,0)</f>
        <v>0</v>
      </c>
      <c r="BA25" s="108">
        <f>ROUND(AY25+AW25,0)</f>
        <v>0</v>
      </c>
    </row>
    <row r="26" spans="3:59" ht="12.75" hidden="1" customHeight="1" x14ac:dyDescent="0.3">
      <c r="D26" s="106" t="str">
        <f>"Fringe @ "&amp;TEXT(FRINGE,"0.00%")</f>
        <v>Fringe @ 27.27%</v>
      </c>
      <c r="H26" s="121"/>
      <c r="I26" s="121"/>
      <c r="J26" s="121"/>
      <c r="K26" s="121"/>
      <c r="L26" s="121"/>
      <c r="M26" s="121"/>
      <c r="N26" s="121"/>
      <c r="O26" s="283"/>
      <c r="Q26" s="180">
        <f>ROUND(P25*FRINGE*(1+FrCOLA),0)</f>
        <v>0</v>
      </c>
      <c r="T26" s="337"/>
      <c r="U26" s="121"/>
      <c r="V26" s="121"/>
      <c r="W26" s="121"/>
      <c r="X26" s="121"/>
      <c r="Y26" s="121"/>
      <c r="Z26" s="121"/>
      <c r="AA26" s="121"/>
      <c r="AD26" s="180">
        <f>ROUND(AC25*FRINGE*(1+FrCOLA),0)</f>
        <v>0</v>
      </c>
      <c r="AE26" s="336"/>
      <c r="AH26" s="152"/>
      <c r="AI26" s="152"/>
      <c r="AJ26" s="152"/>
      <c r="AK26" s="152"/>
      <c r="AL26" s="152"/>
      <c r="AM26" s="152"/>
      <c r="AN26" s="152"/>
      <c r="AO26" s="279"/>
      <c r="AP26" s="765"/>
      <c r="AQ26" s="765"/>
      <c r="AS26" s="337"/>
      <c r="AU26" s="336"/>
      <c r="BC26" s="107">
        <f>ROUND(Q26,0)</f>
        <v>0</v>
      </c>
      <c r="BE26" s="107">
        <f>ROUND(AD26,0)</f>
        <v>0</v>
      </c>
      <c r="BG26" s="108">
        <f>ROUND(BE26+BC26,0)</f>
        <v>0</v>
      </c>
    </row>
    <row r="27" spans="3:59" ht="3" hidden="1" customHeight="1" x14ac:dyDescent="0.3">
      <c r="H27" s="106"/>
      <c r="I27" s="106"/>
      <c r="J27" s="106"/>
      <c r="K27" s="106"/>
      <c r="L27" s="121"/>
      <c r="M27" s="121"/>
      <c r="N27" s="121"/>
      <c r="O27" s="122"/>
      <c r="T27" s="337"/>
      <c r="U27" s="121"/>
      <c r="V27" s="121"/>
      <c r="W27" s="121"/>
      <c r="X27" s="121"/>
      <c r="Y27" s="121"/>
      <c r="Z27" s="121"/>
      <c r="AA27" s="121"/>
      <c r="AE27" s="336"/>
      <c r="AH27" s="152"/>
      <c r="AI27" s="152"/>
      <c r="AJ27" s="152"/>
      <c r="AK27" s="152"/>
      <c r="AL27" s="152"/>
      <c r="AM27" s="152"/>
      <c r="AN27" s="152"/>
      <c r="AO27" s="279"/>
      <c r="AP27" s="608"/>
      <c r="AQ27" s="608"/>
      <c r="AS27" s="337"/>
      <c r="AU27" s="336"/>
      <c r="BE27" s="107"/>
      <c r="BG27" s="108"/>
    </row>
    <row r="28" spans="3:59" ht="14.25" hidden="1" customHeight="1" x14ac:dyDescent="0.3">
      <c r="D28" s="21">
        <f>'YEAR 1'!D28</f>
        <v>0</v>
      </c>
      <c r="F28" s="120">
        <f>ROUND((VLOOKUP(D28,Salaries!$A$3:$I$370,8,FALSE))*(1+COLA/100),0)</f>
        <v>0</v>
      </c>
      <c r="H28" s="385">
        <f>'YEAR 1'!H28</f>
        <v>0</v>
      </c>
      <c r="I28" s="306"/>
      <c r="J28" s="307">
        <f>'YEAR 1'!J28</f>
        <v>0</v>
      </c>
      <c r="K28" s="307"/>
      <c r="L28" s="385">
        <f>'YEAR 1'!L28</f>
        <v>0</v>
      </c>
      <c r="M28" s="306"/>
      <c r="N28" s="307">
        <f>'YEAR 1'!N28</f>
        <v>0</v>
      </c>
      <c r="O28" s="285"/>
      <c r="P28" s="739">
        <f>ROUND((VLOOKUP($D28,Salaries!$A$3:$I$370,9,FALSE)*H28*J28*(1+COLA/100))+(VLOOKUP($D28,Salaries!$A$3:$I$370,9,FALSE)*L28*N28*(1+COLA/100)),0)</f>
        <v>0</v>
      </c>
      <c r="Q28" s="739"/>
      <c r="T28" s="337"/>
      <c r="U28" s="385"/>
      <c r="V28" s="121"/>
      <c r="W28" s="121"/>
      <c r="X28" s="121"/>
      <c r="Y28" s="385"/>
      <c r="Z28" s="121"/>
      <c r="AA28" s="307"/>
      <c r="AC28" s="739">
        <f>ROUND((VLOOKUP($D28,Salaries!$A$3:$I$370,9,FALSE)*U28*W28*(1+COLA/100))+(VLOOKUP($D28,Salaries!$A$3:$I$370,9,FALSE)*Y28*AA28*(1+COLA/100)),0)</f>
        <v>0</v>
      </c>
      <c r="AD28" s="739"/>
      <c r="AE28" s="336"/>
      <c r="AH28" s="152">
        <f>U28+H28</f>
        <v>0</v>
      </c>
      <c r="AI28" s="152"/>
      <c r="AJ28" s="286">
        <f>W28+J28</f>
        <v>0</v>
      </c>
      <c r="AK28" s="152"/>
      <c r="AL28" s="152">
        <f>Y28+L28</f>
        <v>0</v>
      </c>
      <c r="AM28" s="152"/>
      <c r="AN28" s="286">
        <f>AA28+N28</f>
        <v>0</v>
      </c>
      <c r="AO28" s="279"/>
      <c r="AP28" s="765">
        <f>ROUND(SUM(P28:Q29)+SUM(AC28:AD29),0)</f>
        <v>0</v>
      </c>
      <c r="AQ28" s="765"/>
      <c r="AS28" s="337"/>
      <c r="AU28" s="336"/>
      <c r="BE28" s="107"/>
      <c r="BG28" s="108"/>
    </row>
    <row r="29" spans="3:59" ht="12.75" hidden="1" customHeight="1" x14ac:dyDescent="0.3">
      <c r="D29" s="106" t="str">
        <f>"Fringe @ "&amp;TEXT(FRINGE,"0.00%")</f>
        <v>Fringe @ 27.27%</v>
      </c>
      <c r="H29" s="121"/>
      <c r="I29" s="121"/>
      <c r="J29" s="121"/>
      <c r="K29" s="121"/>
      <c r="L29" s="121"/>
      <c r="M29" s="121"/>
      <c r="N29" s="121"/>
      <c r="O29" s="283"/>
      <c r="Q29" s="180">
        <f>ROUND(P28*FRINGE*(1+FrCOLA),0)</f>
        <v>0</v>
      </c>
      <c r="T29" s="337"/>
      <c r="U29" s="121"/>
      <c r="V29" s="121"/>
      <c r="W29" s="121"/>
      <c r="X29" s="121"/>
      <c r="Y29" s="121"/>
      <c r="Z29" s="121"/>
      <c r="AA29" s="121"/>
      <c r="AD29" s="180">
        <f>ROUND(AC28*FRINGE*(1+FrCOLA),0)</f>
        <v>0</v>
      </c>
      <c r="AE29" s="336"/>
      <c r="AH29" s="152"/>
      <c r="AI29" s="152"/>
      <c r="AJ29" s="152"/>
      <c r="AK29" s="152"/>
      <c r="AL29" s="152"/>
      <c r="AM29" s="152"/>
      <c r="AN29" s="152"/>
      <c r="AO29" s="279"/>
      <c r="AP29" s="765"/>
      <c r="AQ29" s="765"/>
      <c r="AS29" s="337"/>
      <c r="AU29" s="336"/>
      <c r="BE29" s="107"/>
      <c r="BG29" s="108"/>
    </row>
    <row r="30" spans="3:59" ht="3" hidden="1" customHeight="1" x14ac:dyDescent="0.3">
      <c r="H30" s="106"/>
      <c r="I30" s="106"/>
      <c r="J30" s="106"/>
      <c r="K30" s="106"/>
      <c r="L30" s="121"/>
      <c r="M30" s="121"/>
      <c r="N30" s="121"/>
      <c r="O30" s="122"/>
      <c r="T30" s="337"/>
      <c r="U30" s="121"/>
      <c r="V30" s="121"/>
      <c r="W30" s="121"/>
      <c r="X30" s="121"/>
      <c r="Y30" s="121"/>
      <c r="Z30" s="121"/>
      <c r="AA30" s="121"/>
      <c r="AE30" s="336"/>
      <c r="AH30" s="152"/>
      <c r="AI30" s="152"/>
      <c r="AJ30" s="152"/>
      <c r="AK30" s="152"/>
      <c r="AL30" s="152"/>
      <c r="AM30" s="152"/>
      <c r="AN30" s="152"/>
      <c r="AO30" s="279"/>
      <c r="AP30" s="608"/>
      <c r="AQ30" s="608"/>
      <c r="AS30" s="337"/>
      <c r="AU30" s="336"/>
      <c r="BE30" s="107"/>
      <c r="BG30" s="108"/>
    </row>
    <row r="31" spans="3:59" ht="14.25" hidden="1" customHeight="1" x14ac:dyDescent="0.3">
      <c r="D31" s="21">
        <f>'YEAR 1'!D31</f>
        <v>0</v>
      </c>
      <c r="F31" s="120">
        <f>ROUND((VLOOKUP(D31,Salaries!$A$3:$I$370,8,FALSE))*(1+COLA/100),0)</f>
        <v>0</v>
      </c>
      <c r="H31" s="385">
        <f>'YEAR 1'!H31</f>
        <v>0</v>
      </c>
      <c r="I31" s="306"/>
      <c r="J31" s="307">
        <f>'YEAR 1'!J31</f>
        <v>0</v>
      </c>
      <c r="K31" s="307"/>
      <c r="L31" s="385">
        <f>'YEAR 1'!L31</f>
        <v>0</v>
      </c>
      <c r="M31" s="306"/>
      <c r="N31" s="307">
        <f>'YEAR 1'!N31</f>
        <v>0</v>
      </c>
      <c r="O31" s="285"/>
      <c r="P31" s="739">
        <f>ROUND((VLOOKUP($D31,Salaries!$A$3:$I$370,9,FALSE)*H31*J31*(1+COLA/100))+(VLOOKUP($D31,Salaries!$A$3:$I$370,9,FALSE)*L31*N31*(1+COLA/100)),0)</f>
        <v>0</v>
      </c>
      <c r="Q31" s="739"/>
      <c r="T31" s="337"/>
      <c r="U31" s="385"/>
      <c r="V31" s="121"/>
      <c r="W31" s="121"/>
      <c r="X31" s="121"/>
      <c r="Y31" s="385"/>
      <c r="Z31" s="121"/>
      <c r="AA31" s="307"/>
      <c r="AC31" s="739">
        <f>ROUND((VLOOKUP($D31,Salaries!$A$3:$I$370,9,FALSE)*U31*W31*(1+COLA/100))+(VLOOKUP($D31,Salaries!$A$3:$I$370,9,FALSE)*Y31*AA31*(1+COLA/100)),0)</f>
        <v>0</v>
      </c>
      <c r="AD31" s="739"/>
      <c r="AE31" s="336"/>
      <c r="AH31" s="152">
        <f>U31+H31</f>
        <v>0</v>
      </c>
      <c r="AI31" s="152"/>
      <c r="AJ31" s="286">
        <f>W31+J31</f>
        <v>0</v>
      </c>
      <c r="AK31" s="152"/>
      <c r="AL31" s="152">
        <f>Y31+L31</f>
        <v>0</v>
      </c>
      <c r="AM31" s="152"/>
      <c r="AN31" s="286">
        <f>AA31+N31</f>
        <v>0</v>
      </c>
      <c r="AO31" s="279"/>
      <c r="AP31" s="765">
        <f>ROUND(SUM(P31:Q32)+SUM(AC31:AD32),0)</f>
        <v>0</v>
      </c>
      <c r="AQ31" s="765"/>
      <c r="AS31" s="337"/>
      <c r="AU31" s="336"/>
      <c r="BE31" s="107"/>
      <c r="BG31" s="108"/>
    </row>
    <row r="32" spans="3:59" ht="12.75" hidden="1" customHeight="1" x14ac:dyDescent="0.3">
      <c r="D32" s="106" t="str">
        <f>"Fringe @ "&amp;TEXT(FRINGE,"0.00%")</f>
        <v>Fringe @ 27.27%</v>
      </c>
      <c r="H32" s="121"/>
      <c r="I32" s="121"/>
      <c r="J32" s="121"/>
      <c r="K32" s="121"/>
      <c r="L32" s="121"/>
      <c r="M32" s="121"/>
      <c r="N32" s="121"/>
      <c r="O32" s="283"/>
      <c r="Q32" s="180">
        <f>ROUND(P31*FRINGE*(1+FrCOLA),0)</f>
        <v>0</v>
      </c>
      <c r="T32" s="337"/>
      <c r="U32" s="121"/>
      <c r="V32" s="121"/>
      <c r="W32" s="121"/>
      <c r="X32" s="121"/>
      <c r="Y32" s="121"/>
      <c r="Z32" s="121"/>
      <c r="AA32" s="121"/>
      <c r="AD32" s="180">
        <f>ROUND(AC31*FRINGE*(1+FrCOLA),0)</f>
        <v>0</v>
      </c>
      <c r="AE32" s="336"/>
      <c r="AH32" s="152"/>
      <c r="AI32" s="152"/>
      <c r="AJ32" s="152"/>
      <c r="AK32" s="152"/>
      <c r="AL32" s="152"/>
      <c r="AM32" s="152"/>
      <c r="AN32" s="152"/>
      <c r="AO32" s="279"/>
      <c r="AP32" s="765"/>
      <c r="AQ32" s="765"/>
      <c r="AS32" s="337"/>
      <c r="AU32" s="336"/>
      <c r="BE32" s="107"/>
      <c r="BG32" s="108"/>
    </row>
    <row r="33" spans="1:59" ht="3" hidden="1" customHeight="1" x14ac:dyDescent="0.3">
      <c r="H33" s="106"/>
      <c r="I33" s="106"/>
      <c r="J33" s="106"/>
      <c r="K33" s="106"/>
      <c r="L33" s="121"/>
      <c r="M33" s="121"/>
      <c r="N33" s="121"/>
      <c r="O33" s="122"/>
      <c r="T33" s="337"/>
      <c r="U33" s="121"/>
      <c r="V33" s="121"/>
      <c r="W33" s="121"/>
      <c r="X33" s="121"/>
      <c r="Y33" s="121"/>
      <c r="Z33" s="121"/>
      <c r="AA33" s="121"/>
      <c r="AE33" s="336"/>
      <c r="AH33" s="152"/>
      <c r="AI33" s="152"/>
      <c r="AJ33" s="152"/>
      <c r="AK33" s="152"/>
      <c r="AL33" s="152"/>
      <c r="AM33" s="152"/>
      <c r="AN33" s="152"/>
      <c r="AO33" s="279"/>
      <c r="AP33" s="608"/>
      <c r="AQ33" s="608"/>
      <c r="AS33" s="337"/>
      <c r="AU33" s="336"/>
      <c r="BE33" s="107"/>
      <c r="BG33" s="108"/>
    </row>
    <row r="34" spans="1:59" ht="14.25" hidden="1" customHeight="1" x14ac:dyDescent="0.3">
      <c r="D34" s="21">
        <f>'YEAR 1'!D34</f>
        <v>0</v>
      </c>
      <c r="F34" s="120">
        <f>ROUND((VLOOKUP(D34,Salaries!$A$3:$I$370,8,FALSE))*(1+COLA/100),0)</f>
        <v>0</v>
      </c>
      <c r="H34" s="385">
        <f>'YEAR 1'!H34</f>
        <v>0</v>
      </c>
      <c r="I34" s="306"/>
      <c r="J34" s="307">
        <f>'YEAR 1'!J34</f>
        <v>0</v>
      </c>
      <c r="K34" s="307"/>
      <c r="L34" s="385">
        <f>'YEAR 1'!L34</f>
        <v>0</v>
      </c>
      <c r="M34" s="306"/>
      <c r="N34" s="307">
        <f>'YEAR 1'!N34</f>
        <v>0</v>
      </c>
      <c r="O34" s="285"/>
      <c r="P34" s="739">
        <f>ROUND((VLOOKUP($D34,Salaries!$A$3:$I$370,9,FALSE)*H34*J34*(1+COLA/100))+(VLOOKUP($D34,Salaries!$A$3:$I$370,9,FALSE)*L34*N34*(1+COLA/100)),0)</f>
        <v>0</v>
      </c>
      <c r="Q34" s="739"/>
      <c r="T34" s="337"/>
      <c r="U34" s="385"/>
      <c r="V34" s="121"/>
      <c r="W34" s="121"/>
      <c r="X34" s="121"/>
      <c r="Y34" s="385"/>
      <c r="Z34" s="121"/>
      <c r="AA34" s="307"/>
      <c r="AC34" s="739">
        <f>ROUND((VLOOKUP($D34,Salaries!$A$3:$I$370,9,FALSE)*U34*W34*(1+COLA/100))+(VLOOKUP($D34,Salaries!$A$3:$I$370,9,FALSE)*Y34*AA34*(1+COLA/100)),0)</f>
        <v>0</v>
      </c>
      <c r="AD34" s="739"/>
      <c r="AE34" s="336"/>
      <c r="AH34" s="152">
        <f>U34+H34</f>
        <v>0</v>
      </c>
      <c r="AI34" s="152"/>
      <c r="AJ34" s="286">
        <f>W34+J34</f>
        <v>0</v>
      </c>
      <c r="AK34" s="152"/>
      <c r="AL34" s="152">
        <f>Y34+L34</f>
        <v>0</v>
      </c>
      <c r="AM34" s="152"/>
      <c r="AN34" s="286">
        <f>AA34+N34</f>
        <v>0</v>
      </c>
      <c r="AO34" s="279"/>
      <c r="AP34" s="765">
        <f>ROUND(SUM(P34:Q35)+SUM(AC34:AD35),0)</f>
        <v>0</v>
      </c>
      <c r="AQ34" s="765"/>
      <c r="AS34" s="337"/>
      <c r="AU34" s="336"/>
      <c r="BE34" s="107"/>
      <c r="BG34" s="108"/>
    </row>
    <row r="35" spans="1:59" ht="12.75" hidden="1" customHeight="1" x14ac:dyDescent="0.3">
      <c r="D35" s="106" t="str">
        <f>"Fringe @ "&amp;TEXT(FRINGE,"0.00%")</f>
        <v>Fringe @ 27.27%</v>
      </c>
      <c r="H35" s="121"/>
      <c r="I35" s="121"/>
      <c r="J35" s="121"/>
      <c r="K35" s="121"/>
      <c r="L35" s="121"/>
      <c r="M35" s="121"/>
      <c r="N35" s="121"/>
      <c r="O35" s="283"/>
      <c r="Q35" s="180">
        <f>ROUND(P34*FRINGE*(1+FrCOLA),0)</f>
        <v>0</v>
      </c>
      <c r="T35" s="337"/>
      <c r="U35" s="121"/>
      <c r="V35" s="121"/>
      <c r="W35" s="121"/>
      <c r="X35" s="121"/>
      <c r="Y35" s="121"/>
      <c r="Z35" s="121"/>
      <c r="AA35" s="121"/>
      <c r="AD35" s="180">
        <f>ROUND(AC34*FRINGE*(1+FrCOLA),0)</f>
        <v>0</v>
      </c>
      <c r="AE35" s="336"/>
      <c r="AH35" s="152"/>
      <c r="AI35" s="152"/>
      <c r="AJ35" s="152"/>
      <c r="AK35" s="152"/>
      <c r="AL35" s="152"/>
      <c r="AM35" s="152"/>
      <c r="AN35" s="152"/>
      <c r="AO35" s="279"/>
      <c r="AP35" s="765"/>
      <c r="AQ35" s="765"/>
      <c r="AS35" s="337"/>
      <c r="AU35" s="336"/>
      <c r="BE35" s="107"/>
      <c r="BG35" s="108"/>
    </row>
    <row r="36" spans="1:59" ht="3" hidden="1" customHeight="1" x14ac:dyDescent="0.3">
      <c r="D36" s="115"/>
      <c r="E36" s="115"/>
      <c r="H36" s="106"/>
      <c r="I36" s="106"/>
      <c r="J36" s="106"/>
      <c r="K36" s="106"/>
      <c r="L36" s="121"/>
      <c r="M36" s="121"/>
      <c r="N36" s="121"/>
      <c r="T36" s="337"/>
      <c r="U36" s="106"/>
      <c r="V36" s="106"/>
      <c r="W36" s="106"/>
      <c r="X36" s="106"/>
      <c r="Y36" s="106"/>
      <c r="Z36" s="106"/>
      <c r="AA36" s="106"/>
      <c r="AE36" s="336"/>
      <c r="AH36" s="279"/>
      <c r="AI36" s="279"/>
      <c r="AJ36" s="279"/>
      <c r="AK36" s="279"/>
      <c r="AL36" s="279"/>
      <c r="AM36" s="279"/>
      <c r="AN36" s="279"/>
      <c r="AO36" s="279"/>
      <c r="AS36" s="337"/>
      <c r="AU36" s="336"/>
    </row>
    <row r="37" spans="1:59" ht="14.25" hidden="1" customHeight="1" x14ac:dyDescent="0.3">
      <c r="D37" s="21">
        <f>'YEAR 1'!D37</f>
        <v>0</v>
      </c>
      <c r="F37" s="120">
        <f>ROUND((VLOOKUP(D37,Salaries!$A$3:$I$370,8,FALSE))*(1+COLA/100),0)</f>
        <v>0</v>
      </c>
      <c r="H37" s="385">
        <f>'YEAR 1'!H37</f>
        <v>0</v>
      </c>
      <c r="I37" s="306"/>
      <c r="J37" s="307">
        <f>'YEAR 1'!J37</f>
        <v>0</v>
      </c>
      <c r="K37" s="307"/>
      <c r="L37" s="385">
        <f>'YEAR 1'!L37</f>
        <v>0</v>
      </c>
      <c r="M37" s="306"/>
      <c r="N37" s="307">
        <f>'YEAR 1'!N37</f>
        <v>0</v>
      </c>
      <c r="O37" s="285"/>
      <c r="P37" s="739">
        <f>ROUND((VLOOKUP($D37,Salaries!$A$3:$I$370,9,FALSE)*H37*J37*(1+COLA/100))+(VLOOKUP($D37,Salaries!$A$3:$I$370,9,FALSE)*L37*N37*(1+COLA/100)),0)</f>
        <v>0</v>
      </c>
      <c r="Q37" s="739"/>
      <c r="T37" s="337"/>
      <c r="U37" s="385"/>
      <c r="V37" s="306"/>
      <c r="W37" s="307"/>
      <c r="X37" s="307"/>
      <c r="Y37" s="385"/>
      <c r="Z37" s="305"/>
      <c r="AA37" s="307"/>
      <c r="AC37" s="739">
        <f>ROUND((VLOOKUP($D37,Salaries!$A$3:$I$370,9,FALSE)*U37*W37*(1+COLA/100))+(VLOOKUP($D37,Salaries!$A$3:$I$370,9,FALSE)*Y37*AA37*(1+COLA/100)),0)</f>
        <v>0</v>
      </c>
      <c r="AD37" s="739"/>
      <c r="AE37" s="336"/>
      <c r="AH37" s="152">
        <f>U37+H37</f>
        <v>0</v>
      </c>
      <c r="AI37" s="152"/>
      <c r="AJ37" s="286">
        <f>W37+J37</f>
        <v>0</v>
      </c>
      <c r="AK37" s="152"/>
      <c r="AL37" s="152">
        <f>Y37+L37</f>
        <v>0</v>
      </c>
      <c r="AM37" s="152"/>
      <c r="AN37" s="286">
        <f>AA37+N37</f>
        <v>0</v>
      </c>
      <c r="AO37" s="279"/>
      <c r="AP37" s="765">
        <f>ROUND(SUM(P37:Q38)+SUM(AC37:AD38),0)</f>
        <v>0</v>
      </c>
      <c r="AQ37" s="765"/>
      <c r="AS37" s="337"/>
      <c r="AU37" s="336"/>
      <c r="AW37" s="107">
        <f>P37</f>
        <v>0</v>
      </c>
      <c r="AY37" s="107">
        <f>ROUND(AC37,0)</f>
        <v>0</v>
      </c>
      <c r="BA37" s="108">
        <f>ROUND(AY37+AW37,0)</f>
        <v>0</v>
      </c>
    </row>
    <row r="38" spans="1:59" ht="12.75" hidden="1" customHeight="1" x14ac:dyDescent="0.3">
      <c r="D38" s="106" t="str">
        <f>"Fringe @ "&amp;TEXT(FRINGE,"0.00%")</f>
        <v>Fringe @ 27.27%</v>
      </c>
      <c r="H38" s="121"/>
      <c r="I38" s="121"/>
      <c r="J38" s="121"/>
      <c r="K38" s="121"/>
      <c r="L38" s="121"/>
      <c r="M38" s="121"/>
      <c r="N38" s="121"/>
      <c r="O38" s="283"/>
      <c r="Q38" s="180">
        <f>ROUND(P37*FRINGE*(1+FrCOLA),0)</f>
        <v>0</v>
      </c>
      <c r="T38" s="337"/>
      <c r="U38" s="121"/>
      <c r="V38" s="121"/>
      <c r="W38" s="121"/>
      <c r="X38" s="121"/>
      <c r="Y38" s="121"/>
      <c r="Z38" s="121"/>
      <c r="AA38" s="121"/>
      <c r="AD38" s="180">
        <f>ROUND(AC37*FRINGE*(1+FrCOLA),0)</f>
        <v>0</v>
      </c>
      <c r="AE38" s="336"/>
      <c r="AH38" s="152"/>
      <c r="AI38" s="152"/>
      <c r="AJ38" s="152"/>
      <c r="AK38" s="152"/>
      <c r="AL38" s="152"/>
      <c r="AM38" s="152"/>
      <c r="AN38" s="152"/>
      <c r="AO38" s="279"/>
      <c r="AP38" s="765"/>
      <c r="AQ38" s="765"/>
      <c r="AS38" s="337"/>
      <c r="AU38" s="336"/>
      <c r="BC38" s="107">
        <f>ROUND(Q38,0)</f>
        <v>0</v>
      </c>
      <c r="BE38" s="107">
        <f>ROUND(AD38,0)</f>
        <v>0</v>
      </c>
      <c r="BG38" s="108">
        <f>ROUND(BE38+BC38,0)</f>
        <v>0</v>
      </c>
    </row>
    <row r="39" spans="1:59" ht="3" hidden="1" customHeight="1" x14ac:dyDescent="0.3">
      <c r="D39" s="115"/>
      <c r="E39" s="115"/>
      <c r="H39" s="106"/>
      <c r="I39" s="106"/>
      <c r="J39" s="106"/>
      <c r="K39" s="106"/>
      <c r="L39" s="121"/>
      <c r="M39" s="121"/>
      <c r="N39" s="121"/>
      <c r="O39" s="124"/>
      <c r="T39" s="337"/>
      <c r="U39" s="106"/>
      <c r="V39" s="106"/>
      <c r="W39" s="106"/>
      <c r="X39" s="106"/>
      <c r="Y39" s="123"/>
      <c r="Z39" s="123"/>
      <c r="AA39" s="123"/>
      <c r="AE39" s="336"/>
      <c r="AH39" s="279"/>
      <c r="AI39" s="279"/>
      <c r="AJ39" s="279"/>
      <c r="AK39" s="279"/>
      <c r="AL39" s="287"/>
      <c r="AM39" s="287"/>
      <c r="AN39" s="287"/>
      <c r="AO39" s="279"/>
      <c r="AS39" s="337"/>
      <c r="AU39" s="336"/>
    </row>
    <row r="40" spans="1:59" ht="14.25" hidden="1" customHeight="1" x14ac:dyDescent="0.3">
      <c r="D40" s="21">
        <f>'YEAR 1'!D40</f>
        <v>0</v>
      </c>
      <c r="F40" s="120">
        <f>ROUND((VLOOKUP(D40,Salaries!$A$3:$I$370,8,FALSE))*(1+COLA/100),0)</f>
        <v>0</v>
      </c>
      <c r="H40" s="385">
        <f>'YEAR 1'!H40</f>
        <v>0</v>
      </c>
      <c r="I40" s="306"/>
      <c r="J40" s="307">
        <f>'YEAR 1'!J40</f>
        <v>0</v>
      </c>
      <c r="K40" s="307"/>
      <c r="L40" s="385">
        <f>'YEAR 1'!L40</f>
        <v>0</v>
      </c>
      <c r="M40" s="306"/>
      <c r="N40" s="307">
        <f>'YEAR 1'!N40</f>
        <v>0</v>
      </c>
      <c r="O40" s="285"/>
      <c r="P40" s="739">
        <f>ROUND((VLOOKUP($D40,Salaries!$A$3:$I$370,9,FALSE)*H40*J40*(1+COLA/100))+(VLOOKUP($D40,Salaries!$A$3:$I$370,9,FALSE)*L40*N40*(1+COLA/100)),0)</f>
        <v>0</v>
      </c>
      <c r="Q40" s="739"/>
      <c r="T40" s="337"/>
      <c r="U40" s="385"/>
      <c r="V40" s="306"/>
      <c r="W40" s="307"/>
      <c r="X40" s="307"/>
      <c r="Y40" s="385"/>
      <c r="Z40" s="305"/>
      <c r="AA40" s="307"/>
      <c r="AC40" s="739">
        <f>ROUND((VLOOKUP($D40,Salaries!$A$3:$I$370,9,FALSE)*U40*W40*(1+COLA/100))+(VLOOKUP($D40,Salaries!$A$3:$I$370,9,FALSE)*Y40*AA40*(1+COLA/100)),0)</f>
        <v>0</v>
      </c>
      <c r="AD40" s="739"/>
      <c r="AE40" s="336"/>
      <c r="AH40" s="152">
        <f>U40+H40</f>
        <v>0</v>
      </c>
      <c r="AI40" s="152"/>
      <c r="AJ40" s="286">
        <f>W40+J40</f>
        <v>0</v>
      </c>
      <c r="AK40" s="152"/>
      <c r="AL40" s="152">
        <f>Y40+L40</f>
        <v>0</v>
      </c>
      <c r="AM40" s="152"/>
      <c r="AN40" s="286">
        <f>AA40+N40</f>
        <v>0</v>
      </c>
      <c r="AO40" s="279"/>
      <c r="AP40" s="765">
        <f>ROUND(SUM(P40:Q41)+SUM(AC40:AD41),0)</f>
        <v>0</v>
      </c>
      <c r="AQ40" s="765"/>
      <c r="AS40" s="514"/>
      <c r="AU40" s="336"/>
      <c r="AW40" s="107">
        <f>P40</f>
        <v>0</v>
      </c>
      <c r="AY40" s="107">
        <f>ROUND(AC40,0)</f>
        <v>0</v>
      </c>
      <c r="BA40" s="108">
        <f>ROUND(AY40+AW40,0)</f>
        <v>0</v>
      </c>
    </row>
    <row r="41" spans="1:59" ht="12.75" hidden="1" customHeight="1" x14ac:dyDescent="0.3">
      <c r="D41" s="106" t="str">
        <f>"Fringe @ "&amp;TEXT(FRINGE,"0.00%")</f>
        <v>Fringe @ 27.27%</v>
      </c>
      <c r="H41" s="122"/>
      <c r="I41" s="122"/>
      <c r="J41" s="122"/>
      <c r="K41" s="122"/>
      <c r="L41" s="122"/>
      <c r="M41" s="122"/>
      <c r="N41" s="122"/>
      <c r="O41" s="283"/>
      <c r="Q41" s="180">
        <f>ROUND(P40*FRINGE*(1+FrCOLA),0)</f>
        <v>0</v>
      </c>
      <c r="T41" s="337"/>
      <c r="U41" s="122"/>
      <c r="V41" s="122"/>
      <c r="W41" s="122"/>
      <c r="X41" s="122"/>
      <c r="Y41" s="122"/>
      <c r="Z41" s="122"/>
      <c r="AA41" s="122"/>
      <c r="AD41" s="180">
        <f>ROUND(AC40*FRINGE*(1+FrCOLA),0)</f>
        <v>0</v>
      </c>
      <c r="AE41" s="336"/>
      <c r="AH41" s="152"/>
      <c r="AI41" s="152"/>
      <c r="AJ41" s="152"/>
      <c r="AK41" s="152"/>
      <c r="AL41" s="152"/>
      <c r="AM41" s="152"/>
      <c r="AN41" s="152"/>
      <c r="AO41" s="279"/>
      <c r="AP41" s="765"/>
      <c r="AQ41" s="765"/>
      <c r="AS41" s="337"/>
      <c r="AU41" s="336"/>
      <c r="BC41" s="107">
        <f>ROUND(Q41,0)</f>
        <v>0</v>
      </c>
      <c r="BE41" s="107">
        <f>ROUND(AD41,0)</f>
        <v>0</v>
      </c>
      <c r="BG41" s="108">
        <f>ROUND(BE41+BC41,0)</f>
        <v>0</v>
      </c>
    </row>
    <row r="42" spans="1:59" ht="3" hidden="1" customHeight="1" x14ac:dyDescent="0.3">
      <c r="B42" s="772"/>
      <c r="C42" s="772"/>
      <c r="D42" s="772"/>
      <c r="E42" s="772"/>
      <c r="F42" s="772"/>
      <c r="G42" s="772"/>
      <c r="H42" s="772"/>
      <c r="I42" s="772"/>
      <c r="J42" s="772"/>
      <c r="K42" s="772"/>
      <c r="L42" s="772"/>
      <c r="M42" s="135"/>
      <c r="N42" s="135"/>
      <c r="O42" s="135"/>
      <c r="P42" s="763"/>
      <c r="Q42" s="763"/>
      <c r="R42" s="135"/>
      <c r="S42" s="135"/>
      <c r="T42" s="339"/>
      <c r="U42" s="135"/>
      <c r="V42" s="135"/>
      <c r="W42" s="135"/>
      <c r="X42" s="135"/>
      <c r="Y42" s="135"/>
      <c r="Z42" s="135"/>
      <c r="AA42" s="135"/>
      <c r="AB42" s="135"/>
      <c r="AC42" s="763"/>
      <c r="AD42" s="763"/>
      <c r="AE42" s="340"/>
      <c r="AF42" s="135"/>
      <c r="AG42" s="135"/>
      <c r="AH42" s="135"/>
      <c r="AI42" s="135"/>
      <c r="AJ42" s="135"/>
      <c r="AK42" s="135"/>
      <c r="AL42" s="135"/>
      <c r="AM42" s="135"/>
      <c r="AN42" s="135"/>
      <c r="AO42" s="135"/>
      <c r="AP42" s="763"/>
      <c r="AQ42" s="763"/>
      <c r="AS42" s="337"/>
      <c r="AU42" s="336"/>
    </row>
    <row r="43" spans="1:59" x14ac:dyDescent="0.3">
      <c r="B43" s="158" t="str">
        <f>CONCATENATE("TOTAL ",B12)</f>
        <v>TOTAL SENIOR PERSONNEL</v>
      </c>
      <c r="C43" s="159"/>
      <c r="D43" s="160"/>
      <c r="E43" s="160"/>
      <c r="F43" s="309"/>
      <c r="G43" s="288"/>
      <c r="H43" s="289"/>
      <c r="I43" s="289"/>
      <c r="J43" s="289"/>
      <c r="K43" s="289"/>
      <c r="L43" s="289"/>
      <c r="M43" s="289"/>
      <c r="N43" s="289"/>
      <c r="O43" s="289"/>
      <c r="P43" s="726">
        <f>ROUND(SUM(P13:Q42),0)</f>
        <v>0</v>
      </c>
      <c r="Q43" s="726"/>
      <c r="R43" s="289"/>
      <c r="S43" s="289"/>
      <c r="T43" s="341"/>
      <c r="U43" s="289"/>
      <c r="V43" s="289"/>
      <c r="W43" s="289"/>
      <c r="X43" s="289"/>
      <c r="Y43" s="289"/>
      <c r="Z43" s="289"/>
      <c r="AA43" s="289"/>
      <c r="AB43" s="289"/>
      <c r="AC43" s="726">
        <f>ROUND(SUM(AC13:AD42),0)</f>
        <v>0</v>
      </c>
      <c r="AD43" s="726"/>
      <c r="AE43" s="342"/>
      <c r="AF43" s="289"/>
      <c r="AG43" s="289"/>
      <c r="AH43" s="290">
        <f>SUM(AH13:AH42)</f>
        <v>0</v>
      </c>
      <c r="AI43" s="289"/>
      <c r="AJ43" s="291">
        <f>SUM(AJ12:AJ42)</f>
        <v>0</v>
      </c>
      <c r="AK43" s="289"/>
      <c r="AL43" s="290">
        <f>SUM(AL13:AL42)</f>
        <v>0</v>
      </c>
      <c r="AM43" s="289"/>
      <c r="AN43" s="291">
        <f>SUM(AN12:AN42)</f>
        <v>1</v>
      </c>
      <c r="AO43" s="289"/>
      <c r="AP43" s="726">
        <f>ROUND(SUM(AP13:AQ42),0)</f>
        <v>0</v>
      </c>
      <c r="AQ43" s="726"/>
      <c r="AS43" s="337"/>
      <c r="AU43" s="336"/>
      <c r="BE43" s="107"/>
      <c r="BG43" s="108"/>
    </row>
    <row r="44" spans="1:59" ht="3" customHeight="1" x14ac:dyDescent="0.3">
      <c r="T44" s="337"/>
      <c r="AE44" s="336"/>
      <c r="AS44" s="337"/>
      <c r="AU44" s="336"/>
    </row>
    <row r="45" spans="1:59" x14ac:dyDescent="0.3">
      <c r="A45" s="109" t="s">
        <v>182</v>
      </c>
      <c r="B45" s="127" t="s">
        <v>799</v>
      </c>
      <c r="T45" s="337"/>
      <c r="AE45" s="336"/>
      <c r="AS45" s="337"/>
      <c r="AU45" s="336"/>
    </row>
    <row r="46" spans="1:59" ht="14.25" hidden="1" customHeight="1" x14ac:dyDescent="0.3">
      <c r="B46" s="113"/>
      <c r="C46" s="125">
        <v>1</v>
      </c>
      <c r="D46" s="21" t="str">
        <f>'YEAR 1'!D46</f>
        <v>Lab Technician, Senior Level</v>
      </c>
      <c r="F46" s="120">
        <f>ROUND((VLOOKUP(D46,Salaries!$A$3:$I$370,8,FALSE))*(1+COLA/100),0)</f>
        <v>64516</v>
      </c>
      <c r="H46" s="385"/>
      <c r="I46" s="306"/>
      <c r="J46" s="307"/>
      <c r="K46" s="307"/>
      <c r="L46" s="385"/>
      <c r="M46" s="306"/>
      <c r="N46" s="307"/>
      <c r="O46" s="285"/>
      <c r="P46" s="739">
        <f>ROUND(F46/12*H46*J46+F46/12*L46*N46, 0)*C46</f>
        <v>0</v>
      </c>
      <c r="Q46" s="739"/>
      <c r="T46" s="337"/>
      <c r="U46" s="385"/>
      <c r="V46" s="121"/>
      <c r="W46" s="307"/>
      <c r="X46" s="121"/>
      <c r="Y46" s="385"/>
      <c r="Z46" s="121"/>
      <c r="AA46" s="307"/>
      <c r="AC46" s="739">
        <f>ROUND((F46/12*U46*W46)+(F46/12*Y46*AA46),0)</f>
        <v>0</v>
      </c>
      <c r="AD46" s="739"/>
      <c r="AE46" s="336"/>
      <c r="AH46" s="152">
        <f>U46+H46</f>
        <v>0</v>
      </c>
      <c r="AI46" s="152"/>
      <c r="AJ46" s="286">
        <f>W46+J46</f>
        <v>0</v>
      </c>
      <c r="AK46" s="152"/>
      <c r="AL46" s="152">
        <f>Y46+L46</f>
        <v>0</v>
      </c>
      <c r="AM46" s="152"/>
      <c r="AN46" s="286">
        <f>AA46+N46</f>
        <v>0</v>
      </c>
      <c r="AO46" s="279"/>
      <c r="AP46" s="765">
        <f>ROUND(SUM(P46:Q47)+SUM(AC46:AD47),0)</f>
        <v>0</v>
      </c>
      <c r="AQ46" s="765"/>
      <c r="AS46" s="337"/>
      <c r="AU46" s="336"/>
      <c r="AW46" s="107">
        <f>P46</f>
        <v>0</v>
      </c>
      <c r="AY46" s="107">
        <f>ROUND(AC46,0)</f>
        <v>0</v>
      </c>
      <c r="BA46" s="108">
        <f>ROUND(AY46+AW46,0)</f>
        <v>0</v>
      </c>
    </row>
    <row r="47" spans="1:59" hidden="1" x14ac:dyDescent="0.3">
      <c r="B47" s="119"/>
      <c r="C47" s="125"/>
      <c r="D47" s="106" t="str">
        <f>"Fringe @ "&amp;TEXT(FRINGE,"0.00%")</f>
        <v>Fringe @ 27.27%</v>
      </c>
      <c r="H47" s="121"/>
      <c r="I47" s="121"/>
      <c r="J47" s="121"/>
      <c r="K47" s="121"/>
      <c r="L47" s="121"/>
      <c r="M47" s="121"/>
      <c r="N47" s="121"/>
      <c r="O47" s="283"/>
      <c r="Q47" s="180">
        <f>ROUND(P46*FRINGE*(1+FrCOLA),0)</f>
        <v>0</v>
      </c>
      <c r="T47" s="337"/>
      <c r="U47" s="461"/>
      <c r="V47" s="121"/>
      <c r="W47" s="121"/>
      <c r="X47" s="121"/>
      <c r="Y47" s="461"/>
      <c r="Z47" s="121"/>
      <c r="AA47" s="121"/>
      <c r="AD47" s="180">
        <f>ROUND(AC46*FRINGE*(1+FrCOLA),0)</f>
        <v>0</v>
      </c>
      <c r="AE47" s="336"/>
      <c r="AH47" s="152"/>
      <c r="AI47" s="152"/>
      <c r="AJ47" s="152"/>
      <c r="AK47" s="152"/>
      <c r="AL47" s="152"/>
      <c r="AM47" s="152"/>
      <c r="AN47" s="152"/>
      <c r="AO47" s="279"/>
      <c r="AP47" s="765"/>
      <c r="AQ47" s="765"/>
      <c r="AS47" s="337"/>
      <c r="AU47" s="336"/>
      <c r="BC47" s="107">
        <f>ROUND(Q47,0)</f>
        <v>0</v>
      </c>
      <c r="BE47" s="107">
        <f>ROUND(AD47,0)</f>
        <v>0</v>
      </c>
      <c r="BG47" s="108">
        <f>ROUND(BE47+BC47,0)</f>
        <v>0</v>
      </c>
    </row>
    <row r="48" spans="1:59" ht="3" hidden="1" customHeight="1" x14ac:dyDescent="0.3">
      <c r="C48" s="125"/>
      <c r="D48" s="115"/>
      <c r="E48" s="115"/>
      <c r="H48" s="106"/>
      <c r="I48" s="106"/>
      <c r="J48" s="106"/>
      <c r="K48" s="106"/>
      <c r="L48" s="121"/>
      <c r="M48" s="121"/>
      <c r="N48" s="121"/>
      <c r="O48" s="283"/>
      <c r="T48" s="337"/>
      <c r="U48" s="461"/>
      <c r="V48" s="121"/>
      <c r="W48" s="121"/>
      <c r="X48" s="121"/>
      <c r="Y48" s="461"/>
      <c r="Z48" s="121"/>
      <c r="AA48" s="121"/>
      <c r="AE48" s="336"/>
      <c r="AH48" s="152"/>
      <c r="AI48" s="152"/>
      <c r="AJ48" s="152"/>
      <c r="AK48" s="152"/>
      <c r="AL48" s="152"/>
      <c r="AM48" s="152"/>
      <c r="AN48" s="152"/>
      <c r="AO48" s="279"/>
      <c r="AP48" s="608"/>
      <c r="AQ48" s="608"/>
      <c r="AS48" s="337"/>
      <c r="AU48" s="336"/>
    </row>
    <row r="49" spans="1:59" ht="14.25" hidden="1" customHeight="1" x14ac:dyDescent="0.3">
      <c r="B49" s="113"/>
      <c r="C49" s="125">
        <v>1</v>
      </c>
      <c r="D49" s="21" t="str">
        <f>'YEAR 1'!D49</f>
        <v>PhD Post Doc</v>
      </c>
      <c r="F49" s="120">
        <f>ROUND((VLOOKUP(D49,Salaries!$A$3:$I$370,8,FALSE))*(1+COLA/100),0)</f>
        <v>56291</v>
      </c>
      <c r="H49" s="385"/>
      <c r="I49" s="306"/>
      <c r="J49" s="307"/>
      <c r="K49" s="307"/>
      <c r="L49" s="385"/>
      <c r="M49" s="306"/>
      <c r="N49" s="307"/>
      <c r="O49" s="285"/>
      <c r="P49" s="739">
        <f>ROUND((VLOOKUP($D49,Salaries!$A$3:$I$370,9,FALSE)*H49*J49)*(1+COLA/100)+(VLOOKUP($D49,Salaries!$A$3:$I$370,9,FALSE)*L49*N49)*(1+COLA/100),0)*C49</f>
        <v>0</v>
      </c>
      <c r="Q49" s="739"/>
      <c r="T49" s="337"/>
      <c r="U49" s="385"/>
      <c r="V49" s="306"/>
      <c r="W49" s="307"/>
      <c r="X49" s="307"/>
      <c r="Y49" s="385"/>
      <c r="Z49" s="305"/>
      <c r="AA49" s="307"/>
      <c r="AC49" s="739">
        <f>ROUND((VLOOKUP($D49,Salaries!$A$3:$I$370,9,FALSE)*U49*W49)*(1+COLA/100)+(VLOOKUP($D49,Salaries!$A$3:$I$370,9,FALSE)*Y49*AA49)*(1+COLA/100),0)*P49</f>
        <v>0</v>
      </c>
      <c r="AD49" s="739"/>
      <c r="AE49" s="336"/>
      <c r="AH49" s="152">
        <f>U49+H49</f>
        <v>0</v>
      </c>
      <c r="AI49" s="152"/>
      <c r="AJ49" s="286">
        <f>W49+J49</f>
        <v>0</v>
      </c>
      <c r="AK49" s="152"/>
      <c r="AL49" s="152">
        <f>Y49+L49</f>
        <v>0</v>
      </c>
      <c r="AM49" s="152"/>
      <c r="AN49" s="286">
        <f>AA49+N49</f>
        <v>0</v>
      </c>
      <c r="AO49" s="279"/>
      <c r="AP49" s="765">
        <f>ROUND(SUM(P49:Q50)+SUM(AC49:AD50),0)</f>
        <v>0</v>
      </c>
      <c r="AQ49" s="765"/>
      <c r="AS49" s="337"/>
      <c r="AU49" s="336"/>
      <c r="AW49" s="107">
        <f>P49</f>
        <v>0</v>
      </c>
      <c r="AY49" s="107">
        <f>ROUND(AC49,0)</f>
        <v>0</v>
      </c>
      <c r="BA49" s="108">
        <f>ROUND(AY49+AW49,0)</f>
        <v>0</v>
      </c>
    </row>
    <row r="50" spans="1:59" hidden="1" x14ac:dyDescent="0.3">
      <c r="C50" s="125"/>
      <c r="D50" s="106" t="str">
        <f>"Fringe @ "&amp;TEXT(FRINGE,"0.00%")</f>
        <v>Fringe @ 27.27%</v>
      </c>
      <c r="H50" s="121"/>
      <c r="I50" s="121"/>
      <c r="J50" s="121"/>
      <c r="K50" s="121"/>
      <c r="L50" s="121"/>
      <c r="M50" s="121"/>
      <c r="N50" s="121"/>
      <c r="O50" s="283"/>
      <c r="Q50" s="180">
        <f>ROUND(P49*FRINGE*(1+FrCOLA),0)</f>
        <v>0</v>
      </c>
      <c r="T50" s="337"/>
      <c r="U50" s="121"/>
      <c r="V50" s="121"/>
      <c r="W50" s="121"/>
      <c r="X50" s="121"/>
      <c r="Y50" s="121"/>
      <c r="Z50" s="121"/>
      <c r="AA50" s="121"/>
      <c r="AD50" s="180">
        <f>ROUND(AC49*FRINGE*(1+FrCOLA),0)</f>
        <v>0</v>
      </c>
      <c r="AE50" s="336"/>
      <c r="AH50" s="152"/>
      <c r="AI50" s="152"/>
      <c r="AJ50" s="152"/>
      <c r="AK50" s="152"/>
      <c r="AL50" s="152"/>
      <c r="AM50" s="152"/>
      <c r="AN50" s="152"/>
      <c r="AO50" s="279"/>
      <c r="AP50" s="765"/>
      <c r="AQ50" s="765"/>
      <c r="AS50" s="337"/>
      <c r="AU50" s="336"/>
      <c r="BC50" s="107">
        <f>ROUND(Q50,0)</f>
        <v>0</v>
      </c>
      <c r="BE50" s="107">
        <f>ROUND(AD50,0)</f>
        <v>0</v>
      </c>
      <c r="BG50" s="108">
        <f>ROUND(BE50+BC50,0)</f>
        <v>0</v>
      </c>
    </row>
    <row r="51" spans="1:59" ht="3" hidden="1" customHeight="1" x14ac:dyDescent="0.3">
      <c r="B51" s="127"/>
      <c r="C51" s="125"/>
      <c r="H51" s="121"/>
      <c r="I51" s="121"/>
      <c r="J51" s="121"/>
      <c r="K51" s="121"/>
      <c r="L51" s="121"/>
      <c r="M51" s="121"/>
      <c r="N51" s="121"/>
      <c r="O51" s="283"/>
      <c r="T51" s="337"/>
      <c r="U51" s="121"/>
      <c r="V51" s="121"/>
      <c r="W51" s="121"/>
      <c r="X51" s="121"/>
      <c r="Y51" s="121"/>
      <c r="Z51" s="121"/>
      <c r="AA51" s="121"/>
      <c r="AE51" s="336"/>
      <c r="AH51" s="152"/>
      <c r="AI51" s="152"/>
      <c r="AJ51" s="152"/>
      <c r="AK51" s="152"/>
      <c r="AL51" s="152"/>
      <c r="AM51" s="152"/>
      <c r="AN51" s="152"/>
      <c r="AO51" s="279"/>
      <c r="AS51" s="337"/>
      <c r="AU51" s="336"/>
    </row>
    <row r="52" spans="1:59" ht="14.25" customHeight="1" x14ac:dyDescent="0.3">
      <c r="B52" s="113"/>
      <c r="C52" s="125">
        <v>1</v>
      </c>
      <c r="D52" s="21" t="str">
        <f>'YEAR 1'!D52</f>
        <v>Graduate Student</v>
      </c>
      <c r="F52" s="120">
        <f>ROUND((VLOOKUP(D52,Salaries!$A$3:$I$370,8,FALSE))*(1+COLA/100),0)</f>
        <v>54031</v>
      </c>
      <c r="H52" s="385"/>
      <c r="I52" s="306"/>
      <c r="J52" s="307"/>
      <c r="K52" s="307"/>
      <c r="L52" s="385"/>
      <c r="M52" s="306"/>
      <c r="N52" s="307"/>
      <c r="O52" s="285"/>
      <c r="P52" s="739">
        <f>ROUND((VLOOKUP($D52,Salaries!$A$3:$I$370,9,FALSE)*H52*J52)*(1+COLA/100)+(VLOOKUP($D52,Salaries!$A$3:$I$370,9,FALSE)*L52*N52)*(1+COLA/100),0)*C52</f>
        <v>0</v>
      </c>
      <c r="Q52" s="739"/>
      <c r="T52" s="337"/>
      <c r="U52" s="385"/>
      <c r="V52" s="305"/>
      <c r="W52" s="307"/>
      <c r="X52" s="307"/>
      <c r="Y52" s="385"/>
      <c r="Z52" s="305"/>
      <c r="AA52" s="307"/>
      <c r="AC52" s="739">
        <f>ROUND((VLOOKUP($D52,Salaries!$A$3:$I$370,9,FALSE)*U52*W52)*(1+COLA/100)+(VLOOKUP($D52,Salaries!$A$3:$I$370,9,FALSE)*Y52*AA52)*(1+COLA/100),0)*C52</f>
        <v>0</v>
      </c>
      <c r="AD52" s="739"/>
      <c r="AE52" s="336"/>
      <c r="AH52" s="152">
        <f>H52</f>
        <v>0</v>
      </c>
      <c r="AI52" s="152"/>
      <c r="AJ52" s="286">
        <f>W52+J52</f>
        <v>0</v>
      </c>
      <c r="AK52" s="152"/>
      <c r="AL52" s="152">
        <f>L52</f>
        <v>0</v>
      </c>
      <c r="AM52" s="152"/>
      <c r="AN52" s="286">
        <f>AA52+N52</f>
        <v>0</v>
      </c>
      <c r="AO52" s="279"/>
      <c r="AP52" s="765">
        <f>ROUND(SUM(P52:Q53)+SUM(AC52:AD53),0)</f>
        <v>0</v>
      </c>
      <c r="AQ52" s="765"/>
      <c r="AS52" s="337"/>
      <c r="AU52" s="336"/>
      <c r="AW52" s="107">
        <f>P52</f>
        <v>0</v>
      </c>
      <c r="AY52" s="107">
        <f>ROUND(AC52,0)</f>
        <v>0</v>
      </c>
      <c r="BA52" s="108">
        <f>ROUND(AY52+AW52,0)</f>
        <v>0</v>
      </c>
    </row>
    <row r="53" spans="1:59" x14ac:dyDescent="0.3">
      <c r="A53" s="109"/>
      <c r="B53" s="109"/>
      <c r="C53" s="125"/>
      <c r="D53" s="106" t="str">
        <f>"Fringe @ "&amp;TEXT(StuFRINGE+FrCOLA,"0.00%")</f>
        <v>Fringe @ 7.99%</v>
      </c>
      <c r="F53" s="390"/>
      <c r="H53" s="121"/>
      <c r="I53" s="121"/>
      <c r="J53" s="121"/>
      <c r="K53" s="121"/>
      <c r="L53" s="121"/>
      <c r="M53" s="121"/>
      <c r="N53" s="121"/>
      <c r="O53" s="283"/>
      <c r="Q53" s="180">
        <f>ROUND(P52*StuFRINGE*(1+FrCOLA),0)</f>
        <v>0</v>
      </c>
      <c r="T53" s="337"/>
      <c r="U53" s="382"/>
      <c r="V53" s="382"/>
      <c r="W53" s="382"/>
      <c r="X53" s="382"/>
      <c r="Y53" s="382"/>
      <c r="Z53" s="382"/>
      <c r="AA53" s="382"/>
      <c r="AD53" s="180">
        <f>ROUND(AC52*StuFRINGE*(1+FrCOLA),0)</f>
        <v>0</v>
      </c>
      <c r="AE53" s="336"/>
      <c r="AH53" s="152"/>
      <c r="AI53" s="152"/>
      <c r="AJ53" s="152"/>
      <c r="AK53" s="152"/>
      <c r="AL53" s="152"/>
      <c r="AM53" s="152"/>
      <c r="AN53" s="152"/>
      <c r="AO53" s="279"/>
      <c r="AP53" s="765"/>
      <c r="AQ53" s="765"/>
      <c r="AS53" s="337"/>
      <c r="AU53" s="336"/>
      <c r="BC53" s="107">
        <f>ROUND(Q53,0)</f>
        <v>0</v>
      </c>
      <c r="BE53" s="107">
        <f>ROUND(AD53,0)</f>
        <v>0</v>
      </c>
      <c r="BG53" s="108">
        <f>ROUND(BE53+BC53,0)</f>
        <v>0</v>
      </c>
    </row>
    <row r="54" spans="1:59" ht="3" customHeight="1" x14ac:dyDescent="0.3">
      <c r="C54" s="279"/>
      <c r="D54" s="115"/>
      <c r="E54" s="115"/>
      <c r="F54" s="390"/>
      <c r="H54" s="106"/>
      <c r="I54" s="106"/>
      <c r="J54" s="106"/>
      <c r="K54" s="106"/>
      <c r="L54" s="121"/>
      <c r="M54" s="121"/>
      <c r="N54" s="121"/>
      <c r="O54" s="283"/>
      <c r="T54" s="337"/>
      <c r="U54" s="382"/>
      <c r="V54" s="382"/>
      <c r="W54" s="382"/>
      <c r="X54" s="382"/>
      <c r="Y54" s="382"/>
      <c r="Z54" s="382"/>
      <c r="AA54" s="382"/>
      <c r="AE54" s="336"/>
      <c r="AH54" s="152"/>
      <c r="AI54" s="152"/>
      <c r="AJ54" s="152"/>
      <c r="AK54" s="152"/>
      <c r="AL54" s="152"/>
      <c r="AM54" s="152"/>
      <c r="AN54" s="152"/>
      <c r="AO54" s="279"/>
      <c r="AS54" s="337"/>
      <c r="AU54" s="336"/>
    </row>
    <row r="55" spans="1:59" ht="14.25" customHeight="1" x14ac:dyDescent="0.3">
      <c r="C55" s="125">
        <v>1</v>
      </c>
      <c r="D55" s="21" t="str">
        <f>'YEAR 1'!D55</f>
        <v>Graduate Student</v>
      </c>
      <c r="F55" s="120">
        <f>ROUND((VLOOKUP(D55,Salaries!$A$3:$I$370,8,FALSE))*(1+COLA/100),0)</f>
        <v>54031</v>
      </c>
      <c r="H55" s="385"/>
      <c r="I55" s="306"/>
      <c r="J55" s="307"/>
      <c r="K55" s="307"/>
      <c r="L55" s="385"/>
      <c r="M55" s="306"/>
      <c r="N55" s="307"/>
      <c r="O55" s="285"/>
      <c r="P55" s="739">
        <f>ROUND((VLOOKUP($D55,Salaries!$A$3:$I$370,9,FALSE)*H55*J55)*(1+COLA/100)+(VLOOKUP($D55,Salaries!$A$3:$I$370,9,FALSE)*L55*N55)*(1+COLA/100),0)*C55</f>
        <v>0</v>
      </c>
      <c r="Q55" s="739"/>
      <c r="T55" s="337"/>
      <c r="U55" s="385"/>
      <c r="V55" s="305"/>
      <c r="W55" s="307"/>
      <c r="X55" s="307"/>
      <c r="Y55" s="385"/>
      <c r="Z55" s="305"/>
      <c r="AA55" s="307"/>
      <c r="AC55" s="739">
        <f>ROUND((VLOOKUP($D55,Salaries!$A$3:$I$370,9,FALSE)*U55*W55)*(1+COLA/100)+(VLOOKUP($D55,Salaries!$A$3:$I$370,9,FALSE)*Y55*AA55)*(1+COLA/100),0)*C55</f>
        <v>0</v>
      </c>
      <c r="AD55" s="739"/>
      <c r="AE55" s="336"/>
      <c r="AH55" s="152">
        <f>H55</f>
        <v>0</v>
      </c>
      <c r="AI55" s="152"/>
      <c r="AJ55" s="286">
        <f>W55+J55</f>
        <v>0</v>
      </c>
      <c r="AK55" s="152"/>
      <c r="AL55" s="152">
        <f>L55</f>
        <v>0</v>
      </c>
      <c r="AM55" s="152"/>
      <c r="AN55" s="286">
        <f>AA55+N55</f>
        <v>0</v>
      </c>
      <c r="AO55" s="279"/>
      <c r="AP55" s="765">
        <f>ROUND(SUM(P55:Q56)+SUM(AC55:AD56),0)</f>
        <v>0</v>
      </c>
      <c r="AQ55" s="765"/>
      <c r="AS55" s="337"/>
      <c r="AU55" s="336"/>
      <c r="AW55" s="107">
        <f>P55</f>
        <v>0</v>
      </c>
      <c r="AY55" s="107">
        <f>ROUND(AC55,0)</f>
        <v>0</v>
      </c>
      <c r="BA55" s="108">
        <f>ROUND(AY55+AW55,0)</f>
        <v>0</v>
      </c>
    </row>
    <row r="56" spans="1:59" x14ac:dyDescent="0.3">
      <c r="C56" s="125"/>
      <c r="D56" s="106" t="str">
        <f>"Fringe @ "&amp;TEXT(StuFRINGE+FrCOLA,"0.00%")</f>
        <v>Fringe @ 7.99%</v>
      </c>
      <c r="F56" s="390"/>
      <c r="H56" s="121"/>
      <c r="I56" s="121"/>
      <c r="J56" s="121"/>
      <c r="K56" s="121"/>
      <c r="L56" s="121"/>
      <c r="M56" s="121"/>
      <c r="N56" s="121"/>
      <c r="O56" s="283"/>
      <c r="Q56" s="180">
        <f>ROUND(P55*StuFRINGE*(1+FrCOLA),0)</f>
        <v>0</v>
      </c>
      <c r="T56" s="337"/>
      <c r="U56" s="121"/>
      <c r="V56" s="121"/>
      <c r="W56" s="121"/>
      <c r="X56" s="121"/>
      <c r="Y56" s="121"/>
      <c r="Z56" s="121"/>
      <c r="AA56" s="121"/>
      <c r="AD56" s="180">
        <f>ROUND(AC55*StuFRINGE*(1+FrCOLA),0)</f>
        <v>0</v>
      </c>
      <c r="AE56" s="336"/>
      <c r="AH56" s="152"/>
      <c r="AI56" s="152"/>
      <c r="AJ56" s="152"/>
      <c r="AK56" s="152"/>
      <c r="AL56" s="152"/>
      <c r="AM56" s="152"/>
      <c r="AN56" s="152"/>
      <c r="AO56" s="279"/>
      <c r="AP56" s="765"/>
      <c r="AQ56" s="765"/>
      <c r="AS56" s="337"/>
      <c r="AU56" s="336"/>
      <c r="BC56" s="107">
        <f>ROUND(Q56,0)</f>
        <v>0</v>
      </c>
      <c r="BE56" s="107">
        <f>ROUND(AD56,0)</f>
        <v>0</v>
      </c>
      <c r="BG56" s="108">
        <f>ROUND(BE56+BC56,0)</f>
        <v>0</v>
      </c>
    </row>
    <row r="57" spans="1:59" ht="3" customHeight="1" x14ac:dyDescent="0.3">
      <c r="C57" s="279"/>
      <c r="D57" s="115"/>
      <c r="E57" s="115"/>
      <c r="F57" s="390"/>
      <c r="H57" s="106"/>
      <c r="I57" s="106"/>
      <c r="J57" s="106"/>
      <c r="K57" s="106"/>
      <c r="L57" s="121"/>
      <c r="M57" s="121"/>
      <c r="N57" s="121"/>
      <c r="O57" s="122"/>
      <c r="T57" s="337"/>
      <c r="U57" s="106"/>
      <c r="V57" s="106"/>
      <c r="W57" s="106"/>
      <c r="X57" s="106"/>
      <c r="Y57" s="121"/>
      <c r="Z57" s="121"/>
      <c r="AA57" s="121"/>
      <c r="AE57" s="336"/>
      <c r="AH57" s="279"/>
      <c r="AI57" s="279"/>
      <c r="AJ57" s="279"/>
      <c r="AK57" s="279"/>
      <c r="AL57" s="152"/>
      <c r="AM57" s="152"/>
      <c r="AN57" s="152"/>
      <c r="AO57" s="279"/>
      <c r="AS57" s="337"/>
      <c r="AU57" s="336"/>
    </row>
    <row r="58" spans="1:59" ht="14.25" customHeight="1" x14ac:dyDescent="0.3">
      <c r="C58" s="125">
        <v>1</v>
      </c>
      <c r="D58" s="21" t="str">
        <f>'YEAR 1'!D58</f>
        <v>Graduate Student</v>
      </c>
      <c r="F58" s="120">
        <f>ROUND((VLOOKUP(D58,Salaries!$A$3:$I$370,8,FALSE))*(1+COLA/100),0)</f>
        <v>54031</v>
      </c>
      <c r="H58" s="385"/>
      <c r="I58" s="306"/>
      <c r="J58" s="307"/>
      <c r="K58" s="307"/>
      <c r="L58" s="385"/>
      <c r="M58" s="306"/>
      <c r="N58" s="307"/>
      <c r="O58" s="285"/>
      <c r="P58" s="739">
        <f>ROUND((VLOOKUP($D58,Salaries!$A$3:$I$370,9,FALSE)*H58*J58)*(1+COLA/100)+(VLOOKUP($D58,Salaries!$A$3:$I$370,9,FALSE)*L58*N58)*(1+COLA/100),0)*C58</f>
        <v>0</v>
      </c>
      <c r="Q58" s="739"/>
      <c r="T58" s="337"/>
      <c r="U58" s="385"/>
      <c r="V58" s="305"/>
      <c r="W58" s="307"/>
      <c r="X58" s="307"/>
      <c r="Y58" s="385"/>
      <c r="Z58" s="305"/>
      <c r="AA58" s="307"/>
      <c r="AC58" s="739">
        <f>ROUND((VLOOKUP($D58,Salaries!$A$3:$I$370,9,FALSE)*U58*W58)*(1+COLA/100)+(VLOOKUP($D58,Salaries!$A$3:$I$370,9,FALSE)*Y58*AA58)*(1+COLA/100),0)*C58</f>
        <v>0</v>
      </c>
      <c r="AD58" s="739"/>
      <c r="AE58" s="336"/>
      <c r="AH58" s="152">
        <f>U58+H58</f>
        <v>0</v>
      </c>
      <c r="AI58" s="152"/>
      <c r="AJ58" s="286">
        <f>W58+J58</f>
        <v>0</v>
      </c>
      <c r="AK58" s="152"/>
      <c r="AL58" s="152">
        <f>Y58+L58</f>
        <v>0</v>
      </c>
      <c r="AM58" s="152"/>
      <c r="AN58" s="286">
        <f>AA58+N58</f>
        <v>0</v>
      </c>
      <c r="AO58" s="279"/>
      <c r="AP58" s="765">
        <f>ROUND(SUM(P58:Q59)+SUM(AC58:AD59),0)</f>
        <v>0</v>
      </c>
      <c r="AQ58" s="765"/>
      <c r="AS58" s="337"/>
      <c r="AU58" s="336"/>
      <c r="AW58" s="107">
        <f>P58</f>
        <v>0</v>
      </c>
      <c r="AY58" s="107">
        <f>ROUND(AC58,0)</f>
        <v>0</v>
      </c>
      <c r="BA58" s="108">
        <f>ROUND(AY58+AW58,0)</f>
        <v>0</v>
      </c>
    </row>
    <row r="59" spans="1:59" x14ac:dyDescent="0.3">
      <c r="C59" s="125"/>
      <c r="D59" s="106" t="str">
        <f>"Fringe @ "&amp;TEXT(StuFRINGE+FrCOLA,"0.00%")</f>
        <v>Fringe @ 7.99%</v>
      </c>
      <c r="F59" s="390"/>
      <c r="H59" s="121"/>
      <c r="I59" s="121"/>
      <c r="J59" s="121"/>
      <c r="K59" s="121"/>
      <c r="L59" s="121"/>
      <c r="M59" s="121"/>
      <c r="N59" s="121"/>
      <c r="O59" s="283"/>
      <c r="Q59" s="180">
        <f>ROUND(P58*StuFRINGE*(1+FrCOLA),0)</f>
        <v>0</v>
      </c>
      <c r="T59" s="337"/>
      <c r="U59" s="121"/>
      <c r="V59" s="121"/>
      <c r="W59" s="121"/>
      <c r="X59" s="121"/>
      <c r="Y59" s="121"/>
      <c r="Z59" s="121"/>
      <c r="AA59" s="121"/>
      <c r="AD59" s="180">
        <f>ROUND(AC58*StuFRINGE*(1+FrCOLA),0)</f>
        <v>0</v>
      </c>
      <c r="AE59" s="336"/>
      <c r="AH59" s="152"/>
      <c r="AI59" s="152"/>
      <c r="AJ59" s="152"/>
      <c r="AK59" s="152"/>
      <c r="AL59" s="152"/>
      <c r="AM59" s="152"/>
      <c r="AN59" s="152"/>
      <c r="AO59" s="279"/>
      <c r="AP59" s="765"/>
      <c r="AQ59" s="765"/>
      <c r="AS59" s="337"/>
      <c r="AU59" s="336"/>
      <c r="BC59" s="107">
        <f>ROUND(Q59,0)</f>
        <v>0</v>
      </c>
      <c r="BE59" s="107">
        <f>ROUND(AD59,0)</f>
        <v>0</v>
      </c>
      <c r="BG59" s="108">
        <f>ROUND(BE59+BC59,0)</f>
        <v>0</v>
      </c>
    </row>
    <row r="60" spans="1:59" ht="3" customHeight="1" x14ac:dyDescent="0.3">
      <c r="C60" s="125"/>
      <c r="D60" s="115"/>
      <c r="E60" s="115"/>
      <c r="F60" s="390"/>
      <c r="H60" s="106"/>
      <c r="I60" s="106"/>
      <c r="J60" s="106"/>
      <c r="K60" s="106"/>
      <c r="L60" s="121"/>
      <c r="M60" s="121"/>
      <c r="N60" s="121"/>
      <c r="T60" s="337"/>
      <c r="U60" s="106"/>
      <c r="V60" s="106"/>
      <c r="W60" s="106"/>
      <c r="X60" s="106"/>
      <c r="Y60" s="106"/>
      <c r="Z60" s="106"/>
      <c r="AA60" s="106"/>
      <c r="AE60" s="336"/>
      <c r="AH60" s="279"/>
      <c r="AI60" s="279"/>
      <c r="AJ60" s="279"/>
      <c r="AK60" s="279"/>
      <c r="AL60" s="279"/>
      <c r="AM60" s="279"/>
      <c r="AN60" s="279"/>
      <c r="AO60" s="279"/>
      <c r="AS60" s="337"/>
      <c r="AU60" s="336"/>
    </row>
    <row r="61" spans="1:59" ht="14.25" customHeight="1" x14ac:dyDescent="0.3">
      <c r="C61" s="125">
        <v>1</v>
      </c>
      <c r="D61" s="21" t="str">
        <f>'YEAR 1'!D61</f>
        <v>Graduate Student</v>
      </c>
      <c r="F61" s="120">
        <f>ROUND((VLOOKUP(D61,Salaries!$A$3:$I$370,8,FALSE))*(1+COLA/100),0)</f>
        <v>54031</v>
      </c>
      <c r="H61" s="385"/>
      <c r="I61" s="306"/>
      <c r="J61" s="307"/>
      <c r="K61" s="307"/>
      <c r="L61" s="385"/>
      <c r="M61" s="306"/>
      <c r="N61" s="307"/>
      <c r="O61" s="285"/>
      <c r="P61" s="739">
        <f>ROUND(F61/12*H61*J61+F61/12*L61*N61, 0)*C61</f>
        <v>0</v>
      </c>
      <c r="Q61" s="739"/>
      <c r="T61" s="337"/>
      <c r="U61" s="385"/>
      <c r="V61" s="305"/>
      <c r="W61" s="307"/>
      <c r="X61" s="307"/>
      <c r="Y61" s="385"/>
      <c r="Z61" s="305"/>
      <c r="AA61" s="307"/>
      <c r="AC61" s="739">
        <f>ROUND((VLOOKUP($D61,Salaries!$A$3:$I$370,9,FALSE)*U61*W61)*(1+COLA/100)+(VLOOKUP($D61,Salaries!$A$3:$I$370,9,FALSE)*Y61*AA61)*(1+COLA/100),0)*C61</f>
        <v>0</v>
      </c>
      <c r="AD61" s="739"/>
      <c r="AE61" s="336"/>
      <c r="AH61" s="152">
        <f>U61+H61</f>
        <v>0</v>
      </c>
      <c r="AI61" s="152"/>
      <c r="AJ61" s="286">
        <f>W61+J61</f>
        <v>0</v>
      </c>
      <c r="AK61" s="152"/>
      <c r="AL61" s="152">
        <f>Y61+L61</f>
        <v>0</v>
      </c>
      <c r="AM61" s="152"/>
      <c r="AN61" s="286">
        <f>AA61+N61</f>
        <v>0</v>
      </c>
      <c r="AO61" s="279"/>
      <c r="AP61" s="765">
        <f>ROUND(SUM(P61:Q62)+SUM(AC61:AD62),0)</f>
        <v>0</v>
      </c>
      <c r="AQ61" s="765"/>
      <c r="AS61" s="337"/>
      <c r="AU61" s="336"/>
      <c r="AW61" s="107">
        <f>P61</f>
        <v>0</v>
      </c>
      <c r="AY61" s="107">
        <f>ROUND(AC61,0)</f>
        <v>0</v>
      </c>
      <c r="BA61" s="108">
        <f>ROUND(AY61+AW61,0)</f>
        <v>0</v>
      </c>
    </row>
    <row r="62" spans="1:59" x14ac:dyDescent="0.3">
      <c r="C62" s="125"/>
      <c r="D62" s="106" t="str">
        <f>"Fringe @ "&amp;TEXT(StuFRINGE+FrCOLA,"0.00%")</f>
        <v>Fringe @ 7.99%</v>
      </c>
      <c r="H62" s="121"/>
      <c r="I62" s="121"/>
      <c r="J62" s="121"/>
      <c r="K62" s="121"/>
      <c r="L62" s="121"/>
      <c r="M62" s="121"/>
      <c r="N62" s="121"/>
      <c r="O62" s="283"/>
      <c r="Q62" s="180">
        <f>ROUND(P61*StuFRINGE*(1+FrCOLA),0)</f>
        <v>0</v>
      </c>
      <c r="T62" s="337"/>
      <c r="U62" s="121"/>
      <c r="V62" s="121"/>
      <c r="W62" s="121"/>
      <c r="X62" s="121"/>
      <c r="Y62" s="121"/>
      <c r="Z62" s="121"/>
      <c r="AA62" s="121"/>
      <c r="AD62" s="180">
        <f>ROUND(AC61*StuFRINGE*(1+FrCOLA),0)</f>
        <v>0</v>
      </c>
      <c r="AE62" s="336"/>
      <c r="AH62" s="152"/>
      <c r="AI62" s="152"/>
      <c r="AJ62" s="152"/>
      <c r="AK62" s="152"/>
      <c r="AL62" s="152"/>
      <c r="AM62" s="152"/>
      <c r="AN62" s="152"/>
      <c r="AO62" s="279"/>
      <c r="AP62" s="765"/>
      <c r="AQ62" s="765"/>
      <c r="AS62" s="337"/>
      <c r="AU62" s="336"/>
      <c r="BC62" s="107">
        <f>ROUND(Q62,0)</f>
        <v>0</v>
      </c>
      <c r="BE62" s="107">
        <f>ROUND(AD62,0)</f>
        <v>0</v>
      </c>
      <c r="BG62" s="108">
        <f>ROUND(BE62+BC62,0)</f>
        <v>0</v>
      </c>
    </row>
    <row r="63" spans="1:59" ht="3" customHeight="1" x14ac:dyDescent="0.3">
      <c r="C63" s="125"/>
      <c r="D63" s="115"/>
      <c r="E63" s="115"/>
      <c r="H63" s="106"/>
      <c r="I63" s="106"/>
      <c r="J63" s="106"/>
      <c r="K63" s="106"/>
      <c r="L63" s="121"/>
      <c r="M63" s="121"/>
      <c r="N63" s="121"/>
      <c r="O63" s="124"/>
      <c r="T63" s="337"/>
      <c r="U63" s="106"/>
      <c r="V63" s="106"/>
      <c r="W63" s="106"/>
      <c r="X63" s="106"/>
      <c r="Y63" s="123"/>
      <c r="Z63" s="123"/>
      <c r="AA63" s="123"/>
      <c r="AE63" s="336"/>
      <c r="AH63" s="279"/>
      <c r="AI63" s="279"/>
      <c r="AJ63" s="279"/>
      <c r="AK63" s="279"/>
      <c r="AL63" s="287"/>
      <c r="AM63" s="287"/>
      <c r="AN63" s="287"/>
      <c r="AO63" s="279"/>
      <c r="AS63" s="337"/>
      <c r="AU63" s="336"/>
    </row>
    <row r="64" spans="1:59" ht="14.25" customHeight="1" x14ac:dyDescent="0.3">
      <c r="C64" s="125">
        <v>1</v>
      </c>
      <c r="D64" s="21" t="str">
        <f>'YEAR 1'!D64</f>
        <v>Undergraduate Student</v>
      </c>
      <c r="F64" s="120">
        <f>ROUND((VLOOKUP(D64,Salaries!$A$3:$I$370,8,FALSE))*(1+COLA/100),0)</f>
        <v>25709</v>
      </c>
      <c r="H64" s="385"/>
      <c r="I64" s="306"/>
      <c r="J64" s="307"/>
      <c r="K64" s="307"/>
      <c r="L64" s="385"/>
      <c r="M64" s="306"/>
      <c r="N64" s="307"/>
      <c r="O64" s="285"/>
      <c r="P64" s="739">
        <f>ROUND(F64/12*H64*J64+F64/12*L64*N64, 0)*C64</f>
        <v>0</v>
      </c>
      <c r="Q64" s="739"/>
      <c r="T64" s="337"/>
      <c r="U64" s="385"/>
      <c r="V64" s="305"/>
      <c r="W64" s="307"/>
      <c r="X64" s="307"/>
      <c r="Y64" s="385"/>
      <c r="Z64" s="305"/>
      <c r="AA64" s="307"/>
      <c r="AC64" s="739">
        <f>ROUND((VLOOKUP($D64,Salaries!$A$3:$I$370,9,FALSE)*U64*W64)*(1+COLA/100)+(VLOOKUP($D64,Salaries!$A$3:$I$370,9,FALSE)*Y64*AA64)*(1+COLA/100),0)*C64</f>
        <v>0</v>
      </c>
      <c r="AD64" s="739"/>
      <c r="AE64" s="336"/>
      <c r="AH64" s="152">
        <f>U64+H64</f>
        <v>0</v>
      </c>
      <c r="AI64" s="152"/>
      <c r="AJ64" s="286">
        <f>W64+J64</f>
        <v>0</v>
      </c>
      <c r="AK64" s="152"/>
      <c r="AL64" s="152">
        <f>Y64+L64</f>
        <v>0</v>
      </c>
      <c r="AM64" s="152"/>
      <c r="AN64" s="286">
        <f>AA64+N64</f>
        <v>0</v>
      </c>
      <c r="AO64" s="279"/>
      <c r="AP64" s="765">
        <f>ROUND(SUM(P64:Q65)+SUM(AC64:AD65),0)</f>
        <v>0</v>
      </c>
      <c r="AQ64" s="765"/>
      <c r="AS64" s="337"/>
      <c r="AU64" s="336"/>
      <c r="AW64" s="107">
        <f>P64</f>
        <v>0</v>
      </c>
      <c r="AY64" s="107">
        <f>ROUND(AC64,0)</f>
        <v>0</v>
      </c>
      <c r="BA64" s="108">
        <f>ROUND(AY64+AW64,0)</f>
        <v>0</v>
      </c>
    </row>
    <row r="65" spans="1:59" x14ac:dyDescent="0.3">
      <c r="C65" s="125"/>
      <c r="D65" s="106" t="str">
        <f>"Fringe @ "&amp;TEXT(StuFRINGE+FrCOLA,"0.00%")</f>
        <v>Fringe @ 7.99%</v>
      </c>
      <c r="H65" s="122"/>
      <c r="I65" s="122"/>
      <c r="J65" s="122"/>
      <c r="K65" s="122"/>
      <c r="L65" s="122"/>
      <c r="M65" s="122"/>
      <c r="N65" s="122"/>
      <c r="O65" s="283"/>
      <c r="Q65" s="180">
        <f>ROUND(P64*StuFRINGE*(1+FrCOLA),0)</f>
        <v>0</v>
      </c>
      <c r="T65" s="337"/>
      <c r="U65" s="122"/>
      <c r="V65" s="122"/>
      <c r="W65" s="122"/>
      <c r="X65" s="122"/>
      <c r="Y65" s="122"/>
      <c r="Z65" s="122"/>
      <c r="AA65" s="122"/>
      <c r="AD65" s="180">
        <f>ROUND(AC64*StuFRINGE*(1+FrCOLA),0)</f>
        <v>0</v>
      </c>
      <c r="AE65" s="336"/>
      <c r="AH65" s="152"/>
      <c r="AI65" s="152"/>
      <c r="AJ65" s="152"/>
      <c r="AK65" s="152"/>
      <c r="AL65" s="152"/>
      <c r="AM65" s="152"/>
      <c r="AN65" s="152"/>
      <c r="AO65" s="279"/>
      <c r="AP65" s="765"/>
      <c r="AQ65" s="765"/>
      <c r="AS65" s="337"/>
      <c r="AU65" s="336"/>
      <c r="BC65" s="107">
        <f>ROUND(Q65,0)</f>
        <v>0</v>
      </c>
      <c r="BE65" s="107">
        <f>ROUND(AD65,0)</f>
        <v>0</v>
      </c>
      <c r="BG65" s="108">
        <f>ROUND(BE65+BC65,0)</f>
        <v>0</v>
      </c>
    </row>
    <row r="66" spans="1:59" ht="3" customHeight="1" x14ac:dyDescent="0.3">
      <c r="B66" s="773"/>
      <c r="C66" s="773"/>
      <c r="D66" s="773"/>
      <c r="E66" s="773"/>
      <c r="F66" s="773"/>
      <c r="G66" s="773"/>
      <c r="H66" s="773"/>
      <c r="I66" s="773"/>
      <c r="J66" s="773"/>
      <c r="K66" s="773"/>
      <c r="L66" s="773"/>
      <c r="P66" s="739"/>
      <c r="Q66" s="739"/>
      <c r="T66" s="337"/>
      <c r="AC66" s="739"/>
      <c r="AD66" s="739"/>
      <c r="AE66" s="336"/>
      <c r="AP66" s="774"/>
      <c r="AQ66" s="774"/>
      <c r="AS66" s="337"/>
      <c r="AU66" s="336"/>
    </row>
    <row r="67" spans="1:59" x14ac:dyDescent="0.3">
      <c r="B67" s="164" t="str">
        <f>CONCATENATE("TOTAL ",B45)</f>
        <v>TOTAL OTHER PERSONNEL</v>
      </c>
      <c r="C67" s="165"/>
      <c r="D67" s="166"/>
      <c r="E67" s="166"/>
      <c r="F67" s="310"/>
      <c r="G67" s="292"/>
      <c r="H67" s="293"/>
      <c r="I67" s="293"/>
      <c r="J67" s="293"/>
      <c r="K67" s="293"/>
      <c r="L67" s="293"/>
      <c r="M67" s="293"/>
      <c r="N67" s="293"/>
      <c r="O67" s="293"/>
      <c r="P67" s="761">
        <f>ROUND(SUM(P46:Q66),0)</f>
        <v>0</v>
      </c>
      <c r="Q67" s="761"/>
      <c r="R67" s="293"/>
      <c r="S67" s="293"/>
      <c r="T67" s="343"/>
      <c r="U67" s="293"/>
      <c r="V67" s="293"/>
      <c r="W67" s="293"/>
      <c r="X67" s="293"/>
      <c r="Y67" s="293"/>
      <c r="Z67" s="293"/>
      <c r="AA67" s="293"/>
      <c r="AB67" s="293"/>
      <c r="AC67" s="761">
        <f>ROUND(SUM(AC46:AD66),0)</f>
        <v>0</v>
      </c>
      <c r="AD67" s="761"/>
      <c r="AE67" s="344"/>
      <c r="AF67" s="293"/>
      <c r="AG67" s="293"/>
      <c r="AH67" s="293"/>
      <c r="AI67" s="293"/>
      <c r="AJ67" s="293"/>
      <c r="AK67" s="293"/>
      <c r="AL67" s="293"/>
      <c r="AM67" s="293"/>
      <c r="AN67" s="293"/>
      <c r="AO67" s="293"/>
      <c r="AP67" s="761">
        <f>ROUND(SUM(AP46:AQ66),0)</f>
        <v>0</v>
      </c>
      <c r="AQ67" s="761"/>
      <c r="AS67" s="337"/>
      <c r="AU67" s="336"/>
      <c r="AW67" s="128">
        <f>ROUND(SUM(AW12:AW66),0)</f>
        <v>0</v>
      </c>
      <c r="AX67" s="126"/>
      <c r="AY67" s="128">
        <f>ROUND(SUM(AY12:AY66),0)</f>
        <v>0</v>
      </c>
      <c r="AZ67" s="126"/>
      <c r="BA67" s="128">
        <f>ROUND(SUM(BA12:BA66),0)</f>
        <v>0</v>
      </c>
      <c r="BB67" s="126"/>
      <c r="BC67" s="128">
        <f>ROUND(SUM(BC12:BC66),0)</f>
        <v>0</v>
      </c>
      <c r="BD67" s="126"/>
      <c r="BE67" s="128">
        <f>ROUND(SUM(BE12:BE66),0)</f>
        <v>0</v>
      </c>
      <c r="BF67" s="126"/>
      <c r="BG67" s="128">
        <f>ROUND(SUM(BG12:BG66),0)</f>
        <v>0</v>
      </c>
    </row>
    <row r="68" spans="1:59" ht="3" customHeight="1" x14ac:dyDescent="0.3">
      <c r="D68" s="115"/>
      <c r="E68" s="115"/>
      <c r="T68" s="337"/>
      <c r="AE68" s="336"/>
      <c r="AS68" s="337"/>
      <c r="AU68" s="336"/>
      <c r="AY68" s="157" t="s">
        <v>800</v>
      </c>
      <c r="BE68" s="117" t="s">
        <v>801</v>
      </c>
    </row>
    <row r="69" spans="1:59" x14ac:dyDescent="0.3">
      <c r="A69" s="109" t="s">
        <v>184</v>
      </c>
      <c r="B69" s="109" t="s">
        <v>769</v>
      </c>
      <c r="C69" s="109"/>
      <c r="D69" s="115"/>
      <c r="E69" s="115"/>
      <c r="T69" s="337"/>
      <c r="AE69" s="336"/>
      <c r="AS69" s="337"/>
      <c r="AU69" s="336"/>
    </row>
    <row r="70" spans="1:59" x14ac:dyDescent="0.3">
      <c r="D70" s="115"/>
      <c r="E70" s="115"/>
      <c r="P70" s="739"/>
      <c r="Q70" s="739"/>
      <c r="T70" s="337"/>
      <c r="AC70" s="739"/>
      <c r="AD70" s="739"/>
      <c r="AE70" s="336"/>
      <c r="AP70" s="765">
        <f>ROUND(SUM(P70:AE70),0)</f>
        <v>0</v>
      </c>
      <c r="AQ70" s="765"/>
      <c r="AS70" s="514">
        <f>P70</f>
        <v>0</v>
      </c>
      <c r="AU70" s="515">
        <f>AC70</f>
        <v>0</v>
      </c>
    </row>
    <row r="71" spans="1:59" x14ac:dyDescent="0.3">
      <c r="D71" s="115"/>
      <c r="E71" s="115"/>
      <c r="P71" s="739"/>
      <c r="Q71" s="739"/>
      <c r="T71" s="337"/>
      <c r="AC71" s="739"/>
      <c r="AD71" s="739"/>
      <c r="AE71" s="336"/>
      <c r="AP71" s="765">
        <f>ROUND(SUM(P71:AE71),0)</f>
        <v>0</v>
      </c>
      <c r="AQ71" s="765"/>
      <c r="AS71" s="514">
        <f>P71</f>
        <v>0</v>
      </c>
      <c r="AU71" s="515">
        <f>AD71</f>
        <v>0</v>
      </c>
    </row>
    <row r="72" spans="1:59" x14ac:dyDescent="0.3">
      <c r="D72" s="115"/>
      <c r="E72" s="115"/>
      <c r="P72" s="739"/>
      <c r="Q72" s="739"/>
      <c r="T72" s="337"/>
      <c r="AC72" s="739"/>
      <c r="AD72" s="739"/>
      <c r="AE72" s="336"/>
      <c r="AP72" s="765">
        <f>ROUND(SUM(P72:AE72),0)</f>
        <v>0</v>
      </c>
      <c r="AQ72" s="765"/>
      <c r="AS72" s="514">
        <f>P72</f>
        <v>0</v>
      </c>
      <c r="AU72" s="515">
        <f>AD72</f>
        <v>0</v>
      </c>
    </row>
    <row r="73" spans="1:59" ht="12.75" customHeight="1" x14ac:dyDescent="0.3">
      <c r="D73" s="115"/>
      <c r="E73" s="115"/>
      <c r="P73" s="739"/>
      <c r="Q73" s="739"/>
      <c r="T73" s="337"/>
      <c r="AC73" s="739"/>
      <c r="AD73" s="739"/>
      <c r="AE73" s="336"/>
      <c r="AP73" s="765">
        <f t="shared" ref="AP73:AP74" si="0">ROUND(SUM(P73:AE73),0)</f>
        <v>0</v>
      </c>
      <c r="AQ73" s="765"/>
      <c r="AS73" s="514">
        <f>P73</f>
        <v>0</v>
      </c>
      <c r="AU73" s="515">
        <f>AD73</f>
        <v>0</v>
      </c>
    </row>
    <row r="74" spans="1:59" ht="12.75" customHeight="1" x14ac:dyDescent="0.3">
      <c r="D74" s="115"/>
      <c r="E74" s="115"/>
      <c r="P74" s="739"/>
      <c r="Q74" s="739"/>
      <c r="T74" s="337"/>
      <c r="AC74" s="739"/>
      <c r="AD74" s="739"/>
      <c r="AE74" s="336"/>
      <c r="AP74" s="765">
        <f t="shared" si="0"/>
        <v>0</v>
      </c>
      <c r="AQ74" s="765"/>
      <c r="AS74" s="514">
        <f>P74</f>
        <v>0</v>
      </c>
      <c r="AU74" s="515">
        <f>AD74</f>
        <v>0</v>
      </c>
    </row>
    <row r="75" spans="1:59" ht="3" customHeight="1" x14ac:dyDescent="0.3">
      <c r="B75" s="773"/>
      <c r="C75" s="773"/>
      <c r="D75" s="773"/>
      <c r="E75" s="773"/>
      <c r="F75" s="773"/>
      <c r="G75" s="773"/>
      <c r="H75" s="773"/>
      <c r="I75" s="773"/>
      <c r="J75" s="773"/>
      <c r="K75" s="773"/>
      <c r="L75" s="773"/>
      <c r="P75" s="739"/>
      <c r="Q75" s="739"/>
      <c r="T75" s="337"/>
      <c r="AC75" s="739"/>
      <c r="AD75" s="739"/>
      <c r="AE75" s="336"/>
      <c r="AP75" s="739"/>
      <c r="AQ75" s="739"/>
      <c r="AS75" s="337"/>
      <c r="AU75" s="336"/>
    </row>
    <row r="76" spans="1:59" x14ac:dyDescent="0.3">
      <c r="B76" s="164" t="str">
        <f>CONCATENATE("TOTAL ",B69)</f>
        <v>TOTAL EQUIPMENT</v>
      </c>
      <c r="C76" s="165"/>
      <c r="D76" s="168"/>
      <c r="E76" s="168"/>
      <c r="F76" s="311"/>
      <c r="G76" s="294"/>
      <c r="H76" s="293"/>
      <c r="I76" s="293"/>
      <c r="J76" s="293"/>
      <c r="K76" s="293"/>
      <c r="L76" s="293"/>
      <c r="M76" s="293"/>
      <c r="N76" s="293"/>
      <c r="O76" s="293"/>
      <c r="P76" s="761">
        <f>ROUND(SUM(P69:Q75),0)</f>
        <v>0</v>
      </c>
      <c r="Q76" s="761"/>
      <c r="R76" s="293"/>
      <c r="S76" s="293"/>
      <c r="T76" s="343"/>
      <c r="U76" s="293"/>
      <c r="V76" s="293"/>
      <c r="W76" s="293"/>
      <c r="X76" s="293"/>
      <c r="Y76" s="293"/>
      <c r="Z76" s="293"/>
      <c r="AA76" s="293"/>
      <c r="AB76" s="293"/>
      <c r="AC76" s="761">
        <f>ROUND(SUM(AC69:AD75),0)</f>
        <v>0</v>
      </c>
      <c r="AD76" s="761"/>
      <c r="AE76" s="344"/>
      <c r="AF76" s="293"/>
      <c r="AG76" s="293"/>
      <c r="AH76" s="293"/>
      <c r="AI76" s="293"/>
      <c r="AJ76" s="293"/>
      <c r="AK76" s="293"/>
      <c r="AL76" s="293"/>
      <c r="AM76" s="293"/>
      <c r="AN76" s="293"/>
      <c r="AO76" s="293"/>
      <c r="AP76" s="761">
        <f>ROUND(SUM(AP69:AQ75),0)</f>
        <v>0</v>
      </c>
      <c r="AQ76" s="761"/>
      <c r="AS76" s="337"/>
      <c r="AU76" s="336"/>
    </row>
    <row r="77" spans="1:59" ht="3" customHeight="1" x14ac:dyDescent="0.3">
      <c r="D77" s="115"/>
      <c r="E77" s="115"/>
      <c r="T77" s="337"/>
      <c r="AE77" s="336"/>
      <c r="AP77" s="180"/>
      <c r="AQ77" s="180"/>
      <c r="AS77" s="337"/>
      <c r="AU77" s="336"/>
    </row>
    <row r="78" spans="1:59" x14ac:dyDescent="0.3">
      <c r="A78" s="109" t="s">
        <v>670</v>
      </c>
      <c r="B78" s="109" t="s">
        <v>765</v>
      </c>
      <c r="C78" s="109"/>
      <c r="D78" s="115"/>
      <c r="E78" s="115"/>
      <c r="P78" s="295"/>
      <c r="Q78" s="295"/>
      <c r="T78" s="337"/>
      <c r="AC78" s="295"/>
      <c r="AD78" s="295"/>
      <c r="AE78" s="336"/>
      <c r="AP78" s="180"/>
      <c r="AQ78" s="295"/>
      <c r="AS78" s="337"/>
      <c r="AU78" s="336"/>
    </row>
    <row r="79" spans="1:59" ht="29.25" customHeight="1" x14ac:dyDescent="0.3">
      <c r="A79" s="109"/>
      <c r="B79" s="131" t="s">
        <v>802</v>
      </c>
      <c r="C79" s="109" t="s">
        <v>705</v>
      </c>
      <c r="D79" s="115"/>
      <c r="E79" s="115"/>
      <c r="F79" s="157" t="s">
        <v>175</v>
      </c>
      <c r="G79" s="157"/>
      <c r="H79" s="117" t="s">
        <v>803</v>
      </c>
      <c r="I79" s="117"/>
      <c r="J79" s="540" t="s">
        <v>804</v>
      </c>
      <c r="K79" s="106"/>
      <c r="L79" s="540" t="s">
        <v>805</v>
      </c>
      <c r="M79" s="119"/>
      <c r="N79" s="119"/>
      <c r="O79" s="106"/>
      <c r="P79" s="130"/>
      <c r="Q79" s="130"/>
      <c r="T79" s="337"/>
      <c r="Y79" s="283"/>
      <c r="Z79" s="283"/>
      <c r="AA79" s="283"/>
      <c r="AC79" s="295"/>
      <c r="AD79" s="295"/>
      <c r="AE79" s="336"/>
      <c r="AL79" s="283"/>
      <c r="AM79" s="283"/>
      <c r="AN79" s="283"/>
      <c r="AP79" s="180"/>
      <c r="AQ79" s="295"/>
      <c r="AS79" s="337"/>
      <c r="AU79" s="336"/>
    </row>
    <row r="80" spans="1:59" x14ac:dyDescent="0.3">
      <c r="B80" s="125"/>
      <c r="C80" s="109"/>
      <c r="D80" s="106">
        <f>'YEAR 1'!D80</f>
        <v>0</v>
      </c>
      <c r="E80" s="115"/>
      <c r="F80" s="157"/>
      <c r="G80" s="107"/>
      <c r="H80" s="106"/>
      <c r="I80" s="106"/>
      <c r="J80" s="106"/>
      <c r="K80" s="106"/>
      <c r="L80" s="119"/>
      <c r="M80" s="119"/>
      <c r="N80" s="119"/>
      <c r="O80" s="106"/>
      <c r="P80" s="130"/>
      <c r="Q80" s="130"/>
      <c r="T80" s="337"/>
      <c r="AC80" s="739"/>
      <c r="AD80" s="739"/>
      <c r="AE80" s="336"/>
      <c r="AP80" s="765"/>
      <c r="AQ80" s="765"/>
      <c r="AS80" s="337"/>
      <c r="AU80" s="336"/>
    </row>
    <row r="81" spans="2:47" x14ac:dyDescent="0.3">
      <c r="B81" s="125"/>
      <c r="C81" s="115" t="s">
        <v>806</v>
      </c>
      <c r="D81" s="115"/>
      <c r="E81" s="115"/>
      <c r="F81" s="180">
        <v>750</v>
      </c>
      <c r="G81" s="107"/>
      <c r="H81" s="106"/>
      <c r="I81" s="106"/>
      <c r="J81" s="106">
        <f>'YEAR 1'!J81</f>
        <v>0</v>
      </c>
      <c r="K81" s="106"/>
      <c r="L81" s="106">
        <v>1</v>
      </c>
      <c r="M81" s="106"/>
      <c r="N81" s="106"/>
      <c r="O81" s="106"/>
      <c r="P81" s="724">
        <f>J81*F81*L81</f>
        <v>0</v>
      </c>
      <c r="Q81" s="724"/>
      <c r="T81" s="337"/>
      <c r="AC81" s="739"/>
      <c r="AD81" s="739"/>
      <c r="AE81" s="336"/>
      <c r="AP81" s="765">
        <f>ROUND(SUM(P81:AE81),0)</f>
        <v>0</v>
      </c>
      <c r="AQ81" s="765"/>
      <c r="AS81" s="337"/>
      <c r="AU81" s="336"/>
    </row>
    <row r="82" spans="2:47" x14ac:dyDescent="0.3">
      <c r="B82" s="125"/>
      <c r="C82" s="115" t="s">
        <v>807</v>
      </c>
      <c r="D82" s="115"/>
      <c r="E82" s="115"/>
      <c r="F82" s="180">
        <v>175</v>
      </c>
      <c r="G82" s="107"/>
      <c r="H82" s="106">
        <f>'YEAR 1'!H82</f>
        <v>0</v>
      </c>
      <c r="I82" s="106"/>
      <c r="J82" s="106">
        <f>'YEAR 1'!J82</f>
        <v>0</v>
      </c>
      <c r="K82" s="106"/>
      <c r="L82" s="106">
        <v>1</v>
      </c>
      <c r="M82" s="106"/>
      <c r="N82" s="106"/>
      <c r="O82" s="106"/>
      <c r="P82" s="724">
        <f>J82*F82*H82*L82</f>
        <v>0</v>
      </c>
      <c r="Q82" s="724"/>
      <c r="T82" s="337"/>
      <c r="AC82" s="739"/>
      <c r="AD82" s="739"/>
      <c r="AE82" s="336"/>
      <c r="AP82" s="765">
        <f>ROUND(SUM(P82:AE82),0)</f>
        <v>0</v>
      </c>
      <c r="AQ82" s="765"/>
      <c r="AS82" s="337"/>
      <c r="AU82" s="336"/>
    </row>
    <row r="83" spans="2:47" x14ac:dyDescent="0.3">
      <c r="B83" s="125"/>
      <c r="C83" s="481" t="s">
        <v>808</v>
      </c>
      <c r="D83" s="115"/>
      <c r="E83" s="115"/>
      <c r="F83" s="180">
        <f>Data!E40</f>
        <v>56</v>
      </c>
      <c r="G83" s="107"/>
      <c r="H83" s="106">
        <f>'YEAR 1'!H83</f>
        <v>0</v>
      </c>
      <c r="I83" s="106"/>
      <c r="J83" s="106">
        <f>'YEAR 1'!J83</f>
        <v>0</v>
      </c>
      <c r="K83" s="106"/>
      <c r="L83" s="106">
        <v>1</v>
      </c>
      <c r="M83" s="106"/>
      <c r="N83" s="106"/>
      <c r="O83" s="106"/>
      <c r="P83" s="724">
        <f t="shared" ref="P83" si="1">J83*F83*H83*L83</f>
        <v>0</v>
      </c>
      <c r="Q83" s="724"/>
      <c r="T83" s="337"/>
      <c r="AC83" s="739"/>
      <c r="AD83" s="739"/>
      <c r="AE83" s="336"/>
      <c r="AP83" s="765">
        <f>ROUND(SUM(P83:AE83),0)</f>
        <v>0</v>
      </c>
      <c r="AQ83" s="765"/>
      <c r="AS83" s="337"/>
      <c r="AU83" s="336"/>
    </row>
    <row r="84" spans="2:47" x14ac:dyDescent="0.3">
      <c r="B84" s="125"/>
      <c r="C84" s="482" t="s">
        <v>809</v>
      </c>
      <c r="D84" s="115"/>
      <c r="E84" s="115"/>
      <c r="F84" s="180">
        <f>'YEAR 1'!F84</f>
        <v>150</v>
      </c>
      <c r="G84" s="107"/>
      <c r="H84" s="106"/>
      <c r="I84" s="106"/>
      <c r="J84" s="106">
        <v>0</v>
      </c>
      <c r="K84" s="106"/>
      <c r="L84" s="106">
        <v>1</v>
      </c>
      <c r="M84" s="106"/>
      <c r="N84" s="106"/>
      <c r="O84" s="106"/>
      <c r="P84" s="724">
        <f>J84*F84*L84</f>
        <v>0</v>
      </c>
      <c r="Q84" s="724"/>
      <c r="T84" s="337"/>
      <c r="AC84" s="739"/>
      <c r="AD84" s="739"/>
      <c r="AE84" s="336"/>
      <c r="AP84" s="765">
        <f>ROUND(SUM(P84:AE84),0)</f>
        <v>0</v>
      </c>
      <c r="AQ84" s="765"/>
      <c r="AS84" s="337"/>
      <c r="AU84" s="336"/>
    </row>
    <row r="85" spans="2:47" ht="3" customHeight="1" x14ac:dyDescent="0.3">
      <c r="B85" s="125"/>
      <c r="C85" s="482"/>
      <c r="D85" s="115"/>
      <c r="E85" s="115"/>
      <c r="F85" s="180"/>
      <c r="G85" s="107"/>
      <c r="H85" s="106"/>
      <c r="I85" s="106"/>
      <c r="J85" s="106"/>
      <c r="K85" s="106"/>
      <c r="L85" s="106"/>
      <c r="M85" s="106"/>
      <c r="N85" s="106"/>
      <c r="O85" s="106"/>
      <c r="P85" s="107"/>
      <c r="Q85" s="107"/>
      <c r="T85" s="337"/>
      <c r="AE85" s="336"/>
      <c r="AP85" s="608"/>
      <c r="AQ85" s="608"/>
      <c r="AS85" s="337"/>
      <c r="AU85" s="336"/>
    </row>
    <row r="86" spans="2:47" x14ac:dyDescent="0.3">
      <c r="B86" s="125"/>
      <c r="C86" s="482"/>
      <c r="D86" s="106">
        <f>'YEAR 1'!D86</f>
        <v>0</v>
      </c>
      <c r="E86" s="115"/>
      <c r="F86" s="157"/>
      <c r="G86" s="107"/>
      <c r="H86" s="106"/>
      <c r="I86" s="106"/>
      <c r="J86" s="106"/>
      <c r="K86" s="106"/>
      <c r="L86" s="119"/>
      <c r="M86" s="119"/>
      <c r="N86" s="119"/>
      <c r="O86" s="106"/>
      <c r="P86" s="107"/>
      <c r="Q86" s="107"/>
      <c r="T86" s="337"/>
      <c r="AE86" s="336"/>
      <c r="AP86" s="608"/>
      <c r="AQ86" s="608"/>
      <c r="AS86" s="337"/>
      <c r="AU86" s="336"/>
    </row>
    <row r="87" spans="2:47" x14ac:dyDescent="0.3">
      <c r="B87" s="125"/>
      <c r="C87" s="115" t="s">
        <v>806</v>
      </c>
      <c r="D87" s="115"/>
      <c r="E87" s="115"/>
      <c r="F87" s="180">
        <v>750</v>
      </c>
      <c r="G87" s="107"/>
      <c r="H87" s="106"/>
      <c r="I87" s="106"/>
      <c r="J87" s="106">
        <f>'YEAR 1'!J87</f>
        <v>0</v>
      </c>
      <c r="K87" s="106"/>
      <c r="L87" s="106">
        <v>1</v>
      </c>
      <c r="M87" s="106"/>
      <c r="N87" s="106"/>
      <c r="O87" s="106"/>
      <c r="P87" s="724">
        <f>J87*F87*L87</f>
        <v>0</v>
      </c>
      <c r="Q87" s="724"/>
      <c r="T87" s="337"/>
      <c r="AE87" s="336"/>
      <c r="AP87" s="765">
        <f>ROUND(SUM(P87:AE87),0)</f>
        <v>0</v>
      </c>
      <c r="AQ87" s="765"/>
      <c r="AS87" s="337"/>
      <c r="AU87" s="336"/>
    </row>
    <row r="88" spans="2:47" x14ac:dyDescent="0.3">
      <c r="B88" s="125"/>
      <c r="C88" s="115" t="s">
        <v>807</v>
      </c>
      <c r="D88" s="115"/>
      <c r="E88" s="115"/>
      <c r="F88" s="180">
        <v>175</v>
      </c>
      <c r="G88" s="107"/>
      <c r="H88" s="106">
        <f>'YEAR 1'!H88</f>
        <v>0</v>
      </c>
      <c r="I88" s="106"/>
      <c r="J88" s="106">
        <f>'YEAR 1'!J88</f>
        <v>0</v>
      </c>
      <c r="K88" s="106"/>
      <c r="L88" s="106">
        <v>1</v>
      </c>
      <c r="M88" s="106"/>
      <c r="N88" s="106"/>
      <c r="O88" s="106"/>
      <c r="P88" s="724">
        <f>J88*F88*H88*L88</f>
        <v>0</v>
      </c>
      <c r="Q88" s="724"/>
      <c r="T88" s="337"/>
      <c r="AE88" s="336"/>
      <c r="AP88" s="765">
        <f>ROUND(SUM(P88:AE88),0)</f>
        <v>0</v>
      </c>
      <c r="AQ88" s="765"/>
      <c r="AS88" s="337"/>
      <c r="AU88" s="336"/>
    </row>
    <row r="89" spans="2:47" x14ac:dyDescent="0.3">
      <c r="B89" s="125"/>
      <c r="C89" s="481" t="s">
        <v>808</v>
      </c>
      <c r="D89" s="115"/>
      <c r="E89" s="115"/>
      <c r="F89" s="180">
        <f>Data!E40</f>
        <v>56</v>
      </c>
      <c r="G89" s="107"/>
      <c r="H89" s="106">
        <f>'YEAR 1'!H89</f>
        <v>0</v>
      </c>
      <c r="I89" s="106"/>
      <c r="J89" s="106">
        <f>'YEAR 1'!J89</f>
        <v>0</v>
      </c>
      <c r="K89" s="106"/>
      <c r="L89" s="106">
        <v>1</v>
      </c>
      <c r="M89" s="106"/>
      <c r="N89" s="106"/>
      <c r="O89" s="106"/>
      <c r="P89" s="724">
        <f t="shared" ref="P89" si="2">J89*F89*H89*L89</f>
        <v>0</v>
      </c>
      <c r="Q89" s="724"/>
      <c r="T89" s="337"/>
      <c r="AE89" s="336"/>
      <c r="AP89" s="765">
        <f>ROUND(SUM(P89:AE89),0)</f>
        <v>0</v>
      </c>
      <c r="AQ89" s="765"/>
      <c r="AS89" s="337"/>
      <c r="AU89" s="336"/>
    </row>
    <row r="90" spans="2:47" x14ac:dyDescent="0.3">
      <c r="B90" s="125"/>
      <c r="C90" s="482" t="s">
        <v>810</v>
      </c>
      <c r="D90" s="115"/>
      <c r="E90" s="115"/>
      <c r="F90" s="180">
        <f>'YEAR 1'!F90</f>
        <v>150</v>
      </c>
      <c r="G90" s="107"/>
      <c r="H90" s="106"/>
      <c r="I90" s="106"/>
      <c r="J90" s="106">
        <v>0</v>
      </c>
      <c r="K90" s="106"/>
      <c r="L90" s="106">
        <v>1</v>
      </c>
      <c r="M90" s="106"/>
      <c r="N90" s="106"/>
      <c r="O90" s="106"/>
      <c r="P90" s="724">
        <f>J90*F90*L90</f>
        <v>0</v>
      </c>
      <c r="Q90" s="724"/>
      <c r="T90" s="337"/>
      <c r="AE90" s="336"/>
      <c r="AP90" s="765">
        <f>ROUND(SUM(P90:AE90),0)</f>
        <v>0</v>
      </c>
      <c r="AQ90" s="765"/>
      <c r="AS90" s="337"/>
      <c r="AU90" s="336"/>
    </row>
    <row r="91" spans="2:47" ht="3" customHeight="1" x14ac:dyDescent="0.3">
      <c r="B91" s="125"/>
      <c r="D91" s="115"/>
      <c r="E91" s="115"/>
      <c r="F91" s="180"/>
      <c r="G91" s="107"/>
      <c r="H91" s="106"/>
      <c r="I91" s="106"/>
      <c r="J91" s="106"/>
      <c r="K91" s="106"/>
      <c r="L91" s="106"/>
      <c r="M91" s="106"/>
      <c r="N91" s="106"/>
      <c r="O91" s="106"/>
      <c r="P91" s="724"/>
      <c r="Q91" s="724"/>
      <c r="R91" s="135"/>
      <c r="S91" s="135"/>
      <c r="T91" s="339"/>
      <c r="U91" s="135"/>
      <c r="V91" s="135"/>
      <c r="W91" s="135"/>
      <c r="X91" s="135"/>
      <c r="Y91" s="135"/>
      <c r="Z91" s="135"/>
      <c r="AA91" s="135"/>
      <c r="AB91" s="135"/>
      <c r="AC91" s="763"/>
      <c r="AD91" s="763"/>
      <c r="AE91" s="340"/>
      <c r="AF91" s="135"/>
      <c r="AG91" s="135"/>
      <c r="AH91" s="135"/>
      <c r="AI91" s="135"/>
      <c r="AJ91" s="135"/>
      <c r="AK91" s="135"/>
      <c r="AL91" s="135"/>
      <c r="AM91" s="135"/>
      <c r="AN91" s="135"/>
      <c r="AO91" s="135"/>
      <c r="AP91" s="763"/>
      <c r="AQ91" s="763"/>
      <c r="AS91" s="337"/>
      <c r="AU91" s="336"/>
    </row>
    <row r="92" spans="2:47" x14ac:dyDescent="0.3">
      <c r="B92" s="125"/>
      <c r="C92" s="109" t="str">
        <f>"Subtotal "&amp;C79</f>
        <v>Subtotal Domestic Travel</v>
      </c>
      <c r="D92" s="500"/>
      <c r="E92" s="500"/>
      <c r="F92" s="501"/>
      <c r="G92" s="431"/>
      <c r="H92" s="155"/>
      <c r="I92" s="155"/>
      <c r="J92" s="155"/>
      <c r="K92" s="155"/>
      <c r="L92" s="155"/>
      <c r="M92" s="155"/>
      <c r="N92" s="155"/>
      <c r="O92" s="155"/>
      <c r="P92" s="734">
        <f>ROUND(SUM(P80:Q91),0)</f>
        <v>0</v>
      </c>
      <c r="Q92" s="734"/>
      <c r="T92" s="337"/>
      <c r="AC92" s="774">
        <f>ROUND(SUM(AC80:AD91),0)</f>
        <v>0</v>
      </c>
      <c r="AD92" s="774"/>
      <c r="AE92" s="336"/>
      <c r="AP92" s="774">
        <f>ROUND(SUM(AP80:AQ91),0)</f>
        <v>0</v>
      </c>
      <c r="AQ92" s="774"/>
      <c r="AS92" s="337"/>
      <c r="AU92" s="336"/>
    </row>
    <row r="93" spans="2:47" ht="3" customHeight="1" x14ac:dyDescent="0.3">
      <c r="B93" s="125"/>
      <c r="D93" s="115"/>
      <c r="E93" s="115"/>
      <c r="T93" s="337"/>
      <c r="AE93" s="336"/>
      <c r="AP93" s="180"/>
      <c r="AQ93" s="180"/>
      <c r="AS93" s="337"/>
      <c r="AU93" s="336"/>
    </row>
    <row r="94" spans="2:47" ht="29.25" customHeight="1" x14ac:dyDescent="0.3">
      <c r="B94" s="131" t="s">
        <v>811</v>
      </c>
      <c r="C94" s="109" t="s">
        <v>707</v>
      </c>
      <c r="D94" s="115"/>
      <c r="E94" s="115"/>
      <c r="J94" s="540" t="s">
        <v>804</v>
      </c>
      <c r="K94" s="106"/>
      <c r="L94" s="540" t="s">
        <v>812</v>
      </c>
      <c r="P94" s="739"/>
      <c r="Q94" s="739"/>
      <c r="T94" s="337"/>
      <c r="AE94" s="336"/>
      <c r="AP94" s="180"/>
      <c r="AQ94" s="180"/>
      <c r="AS94" s="337"/>
      <c r="AU94" s="336"/>
    </row>
    <row r="95" spans="2:47" x14ac:dyDescent="0.3">
      <c r="B95" s="125"/>
      <c r="D95" s="106">
        <f>'YEAR 1'!D95</f>
        <v>0</v>
      </c>
      <c r="E95" s="115"/>
      <c r="F95" s="157"/>
      <c r="G95" s="107"/>
      <c r="H95" s="106"/>
      <c r="I95" s="106"/>
      <c r="J95" s="106"/>
      <c r="K95" s="106"/>
      <c r="L95" s="119"/>
      <c r="M95" s="119"/>
      <c r="N95" s="119"/>
      <c r="O95" s="106"/>
      <c r="P95" s="130"/>
      <c r="Q95" s="130"/>
      <c r="T95" s="337"/>
      <c r="AC95" s="739"/>
      <c r="AD95" s="739"/>
      <c r="AE95" s="336"/>
      <c r="AP95" s="765">
        <f>ROUND(SUM(P95:AE95),0)</f>
        <v>0</v>
      </c>
      <c r="AQ95" s="765"/>
      <c r="AS95" s="337"/>
      <c r="AU95" s="336"/>
    </row>
    <row r="96" spans="2:47" x14ac:dyDescent="0.3">
      <c r="B96" s="125"/>
      <c r="C96" s="106" t="s">
        <v>806</v>
      </c>
      <c r="D96" s="115"/>
      <c r="E96" s="115"/>
      <c r="F96" s="180">
        <v>1300</v>
      </c>
      <c r="G96" s="107"/>
      <c r="H96" s="106"/>
      <c r="I96" s="106"/>
      <c r="J96" s="106"/>
      <c r="K96" s="106"/>
      <c r="L96" s="106"/>
      <c r="M96" s="106"/>
      <c r="N96" s="106"/>
      <c r="O96" s="106"/>
      <c r="P96" s="724">
        <f>J96*F96*L96</f>
        <v>0</v>
      </c>
      <c r="Q96" s="724"/>
      <c r="T96" s="337"/>
      <c r="AC96" s="739"/>
      <c r="AD96" s="739"/>
      <c r="AE96" s="336"/>
      <c r="AP96" s="765">
        <f>ROUND(SUM(P96:AE96),0)</f>
        <v>0</v>
      </c>
      <c r="AQ96" s="765"/>
      <c r="AS96" s="337"/>
      <c r="AU96" s="336"/>
    </row>
    <row r="97" spans="1:47" x14ac:dyDescent="0.3">
      <c r="B97" s="125"/>
      <c r="C97" s="106" t="s">
        <v>807</v>
      </c>
      <c r="D97" s="115"/>
      <c r="E97" s="115"/>
      <c r="F97" s="180">
        <v>150</v>
      </c>
      <c r="G97" s="107"/>
      <c r="H97" s="106"/>
      <c r="I97" s="106"/>
      <c r="J97" s="106"/>
      <c r="K97" s="106"/>
      <c r="L97" s="106"/>
      <c r="M97" s="106"/>
      <c r="N97" s="106"/>
      <c r="O97" s="106"/>
      <c r="P97" s="724">
        <f>J97*F97*H97*L97</f>
        <v>0</v>
      </c>
      <c r="Q97" s="724"/>
      <c r="T97" s="337"/>
      <c r="AC97" s="739"/>
      <c r="AD97" s="739"/>
      <c r="AE97" s="336"/>
      <c r="AP97" s="765">
        <f>ROUND(SUM(P97:AE97),0)</f>
        <v>0</v>
      </c>
      <c r="AQ97" s="765"/>
      <c r="AS97" s="337"/>
      <c r="AU97" s="336"/>
    </row>
    <row r="98" spans="1:47" x14ac:dyDescent="0.3">
      <c r="B98" s="125"/>
      <c r="C98" s="106" t="s">
        <v>808</v>
      </c>
      <c r="D98" s="115"/>
      <c r="E98" s="115"/>
      <c r="F98" s="180">
        <f>'YEAR 1'!F98</f>
        <v>60</v>
      </c>
      <c r="G98" s="107"/>
      <c r="H98" s="106"/>
      <c r="I98" s="106"/>
      <c r="J98" s="106"/>
      <c r="K98" s="106"/>
      <c r="L98" s="106"/>
      <c r="M98" s="106"/>
      <c r="N98" s="106"/>
      <c r="O98" s="106"/>
      <c r="P98" s="724">
        <f t="shared" ref="P98" si="3">J98*F98*H98*L98</f>
        <v>0</v>
      </c>
      <c r="Q98" s="724"/>
      <c r="T98" s="337"/>
      <c r="AC98" s="739"/>
      <c r="AD98" s="739"/>
      <c r="AE98" s="336"/>
      <c r="AP98" s="765">
        <f>ROUND(SUM(P98:AE98),0)</f>
        <v>0</v>
      </c>
      <c r="AQ98" s="765"/>
      <c r="AS98" s="337"/>
      <c r="AU98" s="336"/>
    </row>
    <row r="99" spans="1:47" x14ac:dyDescent="0.3">
      <c r="B99" s="125"/>
      <c r="C99" s="482" t="s">
        <v>810</v>
      </c>
      <c r="D99" s="115"/>
      <c r="E99" s="115"/>
      <c r="F99" s="180">
        <v>200</v>
      </c>
      <c r="G99" s="107"/>
      <c r="H99" s="106"/>
      <c r="I99" s="106"/>
      <c r="J99" s="106"/>
      <c r="K99" s="106"/>
      <c r="L99" s="106"/>
      <c r="M99" s="106"/>
      <c r="N99" s="106"/>
      <c r="O99" s="106"/>
      <c r="P99" s="724">
        <f>J99*F99*L99</f>
        <v>0</v>
      </c>
      <c r="Q99" s="724"/>
      <c r="T99" s="337"/>
      <c r="AC99" s="739"/>
      <c r="AD99" s="739"/>
      <c r="AE99" s="336"/>
      <c r="AP99" s="765">
        <f>ROUND(SUM(P99:AE99),0)</f>
        <v>0</v>
      </c>
      <c r="AQ99" s="765"/>
      <c r="AS99" s="337"/>
      <c r="AU99" s="336"/>
    </row>
    <row r="100" spans="1:47" ht="3" customHeight="1" x14ac:dyDescent="0.3">
      <c r="B100" s="125"/>
      <c r="D100" s="132"/>
      <c r="E100" s="132"/>
      <c r="F100" s="296"/>
      <c r="G100" s="141"/>
      <c r="H100" s="134"/>
      <c r="I100" s="134"/>
      <c r="J100" s="134"/>
      <c r="K100" s="134"/>
      <c r="L100" s="134"/>
      <c r="M100" s="106"/>
      <c r="N100" s="106"/>
      <c r="O100" s="106"/>
      <c r="P100" s="106"/>
      <c r="Q100" s="106"/>
      <c r="R100" s="135"/>
      <c r="S100" s="135"/>
      <c r="T100" s="339"/>
      <c r="U100" s="135"/>
      <c r="V100" s="135"/>
      <c r="W100" s="135"/>
      <c r="X100" s="135"/>
      <c r="Y100" s="135"/>
      <c r="Z100" s="135"/>
      <c r="AA100" s="135"/>
      <c r="AB100" s="135"/>
      <c r="AC100" s="763"/>
      <c r="AD100" s="763"/>
      <c r="AE100" s="340"/>
      <c r="AF100" s="135"/>
      <c r="AG100" s="135"/>
      <c r="AH100" s="135"/>
      <c r="AI100" s="135"/>
      <c r="AJ100" s="135"/>
      <c r="AK100" s="135"/>
      <c r="AL100" s="135"/>
      <c r="AM100" s="135"/>
      <c r="AN100" s="135"/>
      <c r="AO100" s="135"/>
      <c r="AP100" s="763"/>
      <c r="AQ100" s="763"/>
      <c r="AS100" s="337"/>
      <c r="AU100" s="336"/>
    </row>
    <row r="101" spans="1:47" x14ac:dyDescent="0.3">
      <c r="B101" s="125"/>
      <c r="C101" s="109" t="str">
        <f>"Subtotal "&amp;C94</f>
        <v>Subtotal International Travel</v>
      </c>
      <c r="D101" s="115"/>
      <c r="E101" s="115"/>
      <c r="M101" s="297"/>
      <c r="N101" s="297"/>
      <c r="O101" s="297"/>
      <c r="P101" s="762">
        <f>ROUND(SUM(P95:Q100),0)</f>
        <v>0</v>
      </c>
      <c r="Q101" s="762"/>
      <c r="R101" s="297"/>
      <c r="S101" s="297"/>
      <c r="T101" s="331"/>
      <c r="U101" s="297"/>
      <c r="V101" s="297"/>
      <c r="W101" s="297"/>
      <c r="X101" s="297"/>
      <c r="Y101" s="297"/>
      <c r="Z101" s="297"/>
      <c r="AA101" s="297"/>
      <c r="AB101" s="297"/>
      <c r="AC101" s="762">
        <f>ROUND(SUM(AC95:AD100),0)</f>
        <v>0</v>
      </c>
      <c r="AD101" s="762"/>
      <c r="AE101" s="332"/>
      <c r="AF101" s="297"/>
      <c r="AG101" s="297"/>
      <c r="AH101" s="297"/>
      <c r="AI101" s="297"/>
      <c r="AJ101" s="297"/>
      <c r="AK101" s="297"/>
      <c r="AL101" s="297"/>
      <c r="AM101" s="297"/>
      <c r="AN101" s="297"/>
      <c r="AO101" s="297"/>
      <c r="AP101" s="762">
        <f>ROUND(SUM(AP95:AQ100),0)</f>
        <v>0</v>
      </c>
      <c r="AQ101" s="762"/>
      <c r="AS101" s="337"/>
      <c r="AU101" s="336"/>
    </row>
    <row r="102" spans="1:47" ht="3" customHeight="1" x14ac:dyDescent="0.3">
      <c r="B102" s="772"/>
      <c r="C102" s="772"/>
      <c r="D102" s="772"/>
      <c r="E102" s="772"/>
      <c r="F102" s="772"/>
      <c r="G102" s="772"/>
      <c r="H102" s="772"/>
      <c r="I102" s="772"/>
      <c r="J102" s="772"/>
      <c r="K102" s="772"/>
      <c r="L102" s="772"/>
      <c r="M102" s="135"/>
      <c r="N102" s="135"/>
      <c r="O102" s="135"/>
      <c r="P102" s="763"/>
      <c r="Q102" s="763"/>
      <c r="R102" s="135"/>
      <c r="S102" s="135"/>
      <c r="T102" s="339"/>
      <c r="U102" s="135"/>
      <c r="V102" s="135"/>
      <c r="W102" s="135"/>
      <c r="X102" s="135"/>
      <c r="Y102" s="135"/>
      <c r="Z102" s="135"/>
      <c r="AA102" s="135"/>
      <c r="AB102" s="135"/>
      <c r="AC102" s="763"/>
      <c r="AD102" s="763"/>
      <c r="AE102" s="340"/>
      <c r="AF102" s="135"/>
      <c r="AG102" s="135"/>
      <c r="AH102" s="135"/>
      <c r="AI102" s="135"/>
      <c r="AJ102" s="135"/>
      <c r="AK102" s="135"/>
      <c r="AL102" s="135"/>
      <c r="AM102" s="135"/>
      <c r="AN102" s="135"/>
      <c r="AO102" s="135"/>
      <c r="AP102" s="763"/>
      <c r="AQ102" s="763"/>
      <c r="AS102" s="337"/>
      <c r="AU102" s="336"/>
    </row>
    <row r="103" spans="1:47" x14ac:dyDescent="0.3">
      <c r="B103" s="164" t="str">
        <f>"TOTAL "&amp;B78</f>
        <v>TOTAL TRAVEL</v>
      </c>
      <c r="C103" s="165"/>
      <c r="D103" s="168"/>
      <c r="E103" s="168"/>
      <c r="F103" s="311"/>
      <c r="G103" s="294"/>
      <c r="H103" s="293"/>
      <c r="I103" s="293"/>
      <c r="J103" s="293"/>
      <c r="K103" s="293"/>
      <c r="L103" s="293"/>
      <c r="M103" s="293"/>
      <c r="N103" s="293"/>
      <c r="O103" s="293"/>
      <c r="P103" s="761">
        <f>ROUND((P101+P92),0)</f>
        <v>0</v>
      </c>
      <c r="Q103" s="761"/>
      <c r="R103" s="293"/>
      <c r="S103" s="293"/>
      <c r="T103" s="343"/>
      <c r="U103" s="293"/>
      <c r="V103" s="293"/>
      <c r="W103" s="293"/>
      <c r="X103" s="293"/>
      <c r="Y103" s="293"/>
      <c r="Z103" s="293"/>
      <c r="AA103" s="293"/>
      <c r="AB103" s="293"/>
      <c r="AC103" s="761">
        <f>ROUND(AC101+AC92,0)</f>
        <v>0</v>
      </c>
      <c r="AD103" s="761"/>
      <c r="AE103" s="344"/>
      <c r="AF103" s="293"/>
      <c r="AG103" s="293"/>
      <c r="AH103" s="293"/>
      <c r="AI103" s="293"/>
      <c r="AJ103" s="293"/>
      <c r="AK103" s="293"/>
      <c r="AL103" s="293"/>
      <c r="AM103" s="293"/>
      <c r="AN103" s="293"/>
      <c r="AO103" s="293"/>
      <c r="AP103" s="775">
        <f>ROUND(SUM(P103:AE103),0)</f>
        <v>0</v>
      </c>
      <c r="AQ103" s="775"/>
      <c r="AS103" s="337"/>
      <c r="AU103" s="336"/>
    </row>
    <row r="104" spans="1:47" ht="3" customHeight="1" x14ac:dyDescent="0.3">
      <c r="D104" s="115"/>
      <c r="E104" s="115"/>
      <c r="T104" s="337"/>
      <c r="AE104" s="336"/>
      <c r="AP104" s="180"/>
      <c r="AQ104" s="180"/>
      <c r="AS104" s="337"/>
      <c r="AU104" s="336"/>
    </row>
    <row r="105" spans="1:47" x14ac:dyDescent="0.3">
      <c r="A105" s="109" t="s">
        <v>672</v>
      </c>
      <c r="B105" s="109" t="s">
        <v>813</v>
      </c>
      <c r="D105" s="115"/>
      <c r="E105" s="115"/>
      <c r="T105" s="337"/>
      <c r="AE105" s="336"/>
      <c r="AP105" s="180"/>
      <c r="AQ105" s="180"/>
      <c r="AS105" s="337"/>
      <c r="AU105" s="336"/>
    </row>
    <row r="106" spans="1:47" x14ac:dyDescent="0.3">
      <c r="A106" s="109"/>
      <c r="B106" s="131" t="s">
        <v>802</v>
      </c>
      <c r="C106" s="109" t="s">
        <v>814</v>
      </c>
      <c r="D106" s="115"/>
      <c r="E106" s="115"/>
      <c r="T106" s="337"/>
      <c r="AE106" s="336"/>
      <c r="AP106" s="180"/>
      <c r="AQ106" s="180"/>
      <c r="AS106" s="337"/>
      <c r="AU106" s="336"/>
    </row>
    <row r="107" spans="1:47" x14ac:dyDescent="0.3">
      <c r="B107" s="125"/>
      <c r="D107" s="115"/>
      <c r="E107" s="115"/>
      <c r="P107" s="739"/>
      <c r="Q107" s="739"/>
      <c r="T107" s="337"/>
      <c r="AC107" s="739"/>
      <c r="AD107" s="739"/>
      <c r="AE107" s="336"/>
      <c r="AP107" s="765">
        <f>ROUND(SUM(P107:AE107),0)</f>
        <v>0</v>
      </c>
      <c r="AQ107" s="765"/>
      <c r="AS107" s="337"/>
      <c r="AU107" s="336"/>
    </row>
    <row r="108" spans="1:47" x14ac:dyDescent="0.3">
      <c r="B108" s="125"/>
      <c r="D108" s="115"/>
      <c r="E108" s="115"/>
      <c r="P108" s="739"/>
      <c r="Q108" s="739"/>
      <c r="T108" s="337"/>
      <c r="AC108" s="739"/>
      <c r="AD108" s="739"/>
      <c r="AE108" s="336"/>
      <c r="AP108" s="765">
        <f>ROUND(SUM(P108:AE108),0)</f>
        <v>0</v>
      </c>
      <c r="AQ108" s="765"/>
      <c r="AS108" s="337"/>
      <c r="AU108" s="336"/>
    </row>
    <row r="109" spans="1:47" x14ac:dyDescent="0.3">
      <c r="B109" s="125"/>
      <c r="D109" s="115"/>
      <c r="E109" s="115"/>
      <c r="P109" s="739"/>
      <c r="Q109" s="739"/>
      <c r="T109" s="337"/>
      <c r="AC109" s="739"/>
      <c r="AD109" s="739"/>
      <c r="AE109" s="336"/>
      <c r="AP109" s="765">
        <f>ROUND(SUM(P109:AE109),0)</f>
        <v>0</v>
      </c>
      <c r="AQ109" s="765"/>
      <c r="AS109" s="337"/>
      <c r="AU109" s="336"/>
    </row>
    <row r="110" spans="1:47" x14ac:dyDescent="0.3">
      <c r="B110" s="125"/>
      <c r="D110" s="115"/>
      <c r="E110" s="115"/>
      <c r="P110" s="739"/>
      <c r="Q110" s="739"/>
      <c r="T110" s="337"/>
      <c r="AC110" s="739"/>
      <c r="AD110" s="739"/>
      <c r="AE110" s="336"/>
      <c r="AP110" s="765">
        <f>ROUND(SUM(P110:AE110),0)</f>
        <v>0</v>
      </c>
      <c r="AQ110" s="765"/>
      <c r="AS110" s="337"/>
      <c r="AU110" s="336"/>
    </row>
    <row r="111" spans="1:47" x14ac:dyDescent="0.3">
      <c r="B111" s="125"/>
      <c r="D111" s="115"/>
      <c r="E111" s="115"/>
      <c r="P111" s="739"/>
      <c r="Q111" s="739"/>
      <c r="T111" s="337"/>
      <c r="AC111" s="739"/>
      <c r="AD111" s="739"/>
      <c r="AE111" s="336"/>
      <c r="AP111" s="765">
        <f>ROUND(SUM(P111:AE111),0)</f>
        <v>0</v>
      </c>
      <c r="AQ111" s="765"/>
      <c r="AS111" s="337"/>
      <c r="AU111" s="336"/>
    </row>
    <row r="112" spans="1:47" ht="4.5" customHeight="1" x14ac:dyDescent="0.3">
      <c r="B112" s="125"/>
      <c r="D112" s="132"/>
      <c r="E112" s="132"/>
      <c r="F112" s="141"/>
      <c r="G112" s="296"/>
      <c r="H112" s="135"/>
      <c r="I112" s="135"/>
      <c r="J112" s="135"/>
      <c r="K112" s="135"/>
      <c r="L112" s="135"/>
      <c r="M112" s="135"/>
      <c r="N112" s="135"/>
      <c r="O112" s="135"/>
      <c r="P112" s="763"/>
      <c r="Q112" s="763"/>
      <c r="R112" s="135"/>
      <c r="S112" s="135"/>
      <c r="T112" s="339"/>
      <c r="U112" s="135"/>
      <c r="V112" s="135"/>
      <c r="W112" s="135"/>
      <c r="X112" s="135"/>
      <c r="Y112" s="135"/>
      <c r="Z112" s="135"/>
      <c r="AA112" s="135"/>
      <c r="AB112" s="135"/>
      <c r="AC112" s="763"/>
      <c r="AD112" s="763"/>
      <c r="AE112" s="340"/>
      <c r="AF112" s="135"/>
      <c r="AG112" s="135"/>
      <c r="AH112" s="135"/>
      <c r="AI112" s="135"/>
      <c r="AJ112" s="135"/>
      <c r="AK112" s="135"/>
      <c r="AL112" s="135"/>
      <c r="AM112" s="135"/>
      <c r="AN112" s="135"/>
      <c r="AO112" s="135"/>
      <c r="AP112" s="763"/>
      <c r="AQ112" s="763"/>
      <c r="AS112" s="337"/>
      <c r="AU112" s="336"/>
    </row>
    <row r="113" spans="1:47" x14ac:dyDescent="0.3">
      <c r="B113" s="125"/>
      <c r="C113" s="109" t="str">
        <f>"Subtotal "&amp;C106</f>
        <v>Subtotal Tuition/Fees/Health Insurance</v>
      </c>
      <c r="D113" s="115"/>
      <c r="E113" s="115"/>
      <c r="P113" s="774">
        <f>ROUND(SUM(P107:Q112),0)</f>
        <v>0</v>
      </c>
      <c r="Q113" s="774"/>
      <c r="T113" s="337"/>
      <c r="AC113" s="774">
        <f>ROUND(SUM(AC107:AD112),0)</f>
        <v>0</v>
      </c>
      <c r="AD113" s="774"/>
      <c r="AE113" s="336"/>
      <c r="AP113" s="774">
        <f>ROUND(SUM(AP107:AQ112),0)</f>
        <v>0</v>
      </c>
      <c r="AQ113" s="774"/>
      <c r="AS113" s="337"/>
      <c r="AU113" s="336"/>
    </row>
    <row r="114" spans="1:47" ht="3.75" customHeight="1" x14ac:dyDescent="0.3">
      <c r="B114" s="125"/>
      <c r="C114" s="109"/>
      <c r="D114" s="115"/>
      <c r="E114" s="115"/>
      <c r="P114" s="278"/>
      <c r="Q114" s="278"/>
      <c r="T114" s="337"/>
      <c r="AC114" s="278"/>
      <c r="AD114" s="278"/>
      <c r="AE114" s="336"/>
      <c r="AS114" s="337"/>
      <c r="AU114" s="336"/>
    </row>
    <row r="115" spans="1:47" x14ac:dyDescent="0.3">
      <c r="A115" s="109"/>
      <c r="B115" s="131" t="s">
        <v>811</v>
      </c>
      <c r="C115" s="109" t="s">
        <v>713</v>
      </c>
      <c r="D115" s="115"/>
      <c r="E115" s="115"/>
      <c r="T115" s="337"/>
      <c r="AE115" s="336"/>
      <c r="AP115" s="180"/>
      <c r="AQ115" s="180"/>
      <c r="AS115" s="337"/>
      <c r="AU115" s="336"/>
    </row>
    <row r="116" spans="1:47" x14ac:dyDescent="0.3">
      <c r="B116" s="125"/>
      <c r="D116" s="115"/>
      <c r="E116" s="115"/>
      <c r="P116" s="739"/>
      <c r="Q116" s="739"/>
      <c r="T116" s="337"/>
      <c r="AC116" s="739"/>
      <c r="AD116" s="739"/>
      <c r="AE116" s="336"/>
      <c r="AP116" s="765">
        <f>ROUND(SUM(P116:AE116),0)</f>
        <v>0</v>
      </c>
      <c r="AQ116" s="765"/>
      <c r="AS116" s="337"/>
      <c r="AU116" s="336"/>
    </row>
    <row r="117" spans="1:47" x14ac:dyDescent="0.3">
      <c r="B117" s="125"/>
      <c r="D117" s="115"/>
      <c r="E117" s="115"/>
      <c r="P117" s="739"/>
      <c r="Q117" s="739"/>
      <c r="T117" s="337"/>
      <c r="AC117" s="739"/>
      <c r="AD117" s="739"/>
      <c r="AE117" s="336"/>
      <c r="AP117" s="765">
        <f>ROUND(SUM(P117:AE117),0)</f>
        <v>0</v>
      </c>
      <c r="AQ117" s="765"/>
      <c r="AS117" s="337"/>
      <c r="AU117" s="336"/>
    </row>
    <row r="118" spans="1:47" x14ac:dyDescent="0.3">
      <c r="B118" s="125"/>
      <c r="D118" s="115"/>
      <c r="E118" s="115"/>
      <c r="P118" s="739"/>
      <c r="Q118" s="739"/>
      <c r="T118" s="337"/>
      <c r="AC118" s="739"/>
      <c r="AD118" s="739"/>
      <c r="AE118" s="336"/>
      <c r="AP118" s="765">
        <f>ROUND(SUM(P118:AE118),0)</f>
        <v>0</v>
      </c>
      <c r="AQ118" s="765"/>
      <c r="AS118" s="337"/>
      <c r="AU118" s="336"/>
    </row>
    <row r="119" spans="1:47" x14ac:dyDescent="0.3">
      <c r="B119" s="125"/>
      <c r="D119" s="115"/>
      <c r="E119" s="115"/>
      <c r="P119" s="739"/>
      <c r="Q119" s="739"/>
      <c r="T119" s="337"/>
      <c r="AC119" s="739"/>
      <c r="AD119" s="739"/>
      <c r="AE119" s="336"/>
      <c r="AP119" s="765">
        <f>ROUND(SUM(P119:AE119),0)</f>
        <v>0</v>
      </c>
      <c r="AQ119" s="765"/>
      <c r="AS119" s="337"/>
      <c r="AU119" s="336"/>
    </row>
    <row r="120" spans="1:47" x14ac:dyDescent="0.3">
      <c r="B120" s="125"/>
      <c r="D120" s="115"/>
      <c r="E120" s="115"/>
      <c r="P120" s="739"/>
      <c r="Q120" s="739"/>
      <c r="T120" s="337"/>
      <c r="AC120" s="739"/>
      <c r="AD120" s="739"/>
      <c r="AE120" s="336"/>
      <c r="AP120" s="765">
        <f>ROUND(SUM(P120:AE120),0)</f>
        <v>0</v>
      </c>
      <c r="AQ120" s="765"/>
      <c r="AS120" s="337"/>
      <c r="AU120" s="336"/>
    </row>
    <row r="121" spans="1:47" ht="4.5" customHeight="1" x14ac:dyDescent="0.3">
      <c r="B121" s="125"/>
      <c r="D121" s="132"/>
      <c r="E121" s="132"/>
      <c r="F121" s="141"/>
      <c r="G121" s="296"/>
      <c r="H121" s="135"/>
      <c r="I121" s="135"/>
      <c r="J121" s="135"/>
      <c r="K121" s="135"/>
      <c r="L121" s="135"/>
      <c r="M121" s="135"/>
      <c r="N121" s="135"/>
      <c r="O121" s="135"/>
      <c r="P121" s="763"/>
      <c r="Q121" s="763"/>
      <c r="R121" s="135"/>
      <c r="S121" s="135"/>
      <c r="T121" s="339"/>
      <c r="U121" s="135"/>
      <c r="V121" s="135"/>
      <c r="W121" s="135"/>
      <c r="X121" s="135"/>
      <c r="Y121" s="135"/>
      <c r="Z121" s="135"/>
      <c r="AA121" s="135"/>
      <c r="AB121" s="135"/>
      <c r="AC121" s="763"/>
      <c r="AD121" s="763"/>
      <c r="AE121" s="340"/>
      <c r="AF121" s="135"/>
      <c r="AG121" s="135"/>
      <c r="AH121" s="135"/>
      <c r="AI121" s="135"/>
      <c r="AJ121" s="135"/>
      <c r="AK121" s="135"/>
      <c r="AL121" s="135"/>
      <c r="AM121" s="135"/>
      <c r="AN121" s="135"/>
      <c r="AO121" s="135"/>
      <c r="AP121" s="763"/>
      <c r="AQ121" s="763"/>
      <c r="AS121" s="337"/>
      <c r="AU121" s="336"/>
    </row>
    <row r="122" spans="1:47" x14ac:dyDescent="0.3">
      <c r="B122" s="125"/>
      <c r="C122" s="109" t="str">
        <f>"Subtotal "&amp;C115</f>
        <v>Subtotal Stipends</v>
      </c>
      <c r="D122" s="115"/>
      <c r="E122" s="115"/>
      <c r="P122" s="774">
        <f>ROUND(SUM(P116:Q121),0)</f>
        <v>0</v>
      </c>
      <c r="Q122" s="774"/>
      <c r="T122" s="337"/>
      <c r="AC122" s="774">
        <f>ROUND(SUM(AC116:AD121),0)</f>
        <v>0</v>
      </c>
      <c r="AD122" s="774"/>
      <c r="AE122" s="336"/>
      <c r="AP122" s="774">
        <f>ROUND(SUM(AP116:AQ121),0)</f>
        <v>0</v>
      </c>
      <c r="AQ122" s="774"/>
      <c r="AS122" s="337"/>
      <c r="AU122" s="336"/>
    </row>
    <row r="123" spans="1:47" ht="3.75" customHeight="1" x14ac:dyDescent="0.3">
      <c r="B123" s="125"/>
      <c r="C123" s="109"/>
      <c r="D123" s="115"/>
      <c r="E123" s="115"/>
      <c r="P123" s="278"/>
      <c r="Q123" s="278"/>
      <c r="T123" s="337"/>
      <c r="AC123" s="278"/>
      <c r="AD123" s="278"/>
      <c r="AE123" s="336"/>
      <c r="AS123" s="337"/>
      <c r="AU123" s="336"/>
    </row>
    <row r="124" spans="1:47" x14ac:dyDescent="0.3">
      <c r="A124" s="109"/>
      <c r="B124" s="131" t="s">
        <v>815</v>
      </c>
      <c r="C124" s="109" t="s">
        <v>703</v>
      </c>
      <c r="D124" s="115"/>
      <c r="E124" s="115"/>
      <c r="T124" s="337"/>
      <c r="AE124" s="336"/>
      <c r="AP124" s="180"/>
      <c r="AQ124" s="180"/>
      <c r="AS124" s="337"/>
      <c r="AU124" s="336"/>
    </row>
    <row r="125" spans="1:47" x14ac:dyDescent="0.3">
      <c r="B125" s="125"/>
      <c r="D125" s="115"/>
      <c r="E125" s="115"/>
      <c r="P125" s="739"/>
      <c r="Q125" s="739"/>
      <c r="T125" s="337"/>
      <c r="AC125" s="739"/>
      <c r="AD125" s="739"/>
      <c r="AE125" s="336"/>
      <c r="AP125" s="765">
        <f>ROUND(SUM(P125:AE125),0)</f>
        <v>0</v>
      </c>
      <c r="AQ125" s="765"/>
      <c r="AS125" s="337"/>
      <c r="AU125" s="336"/>
    </row>
    <row r="126" spans="1:47" x14ac:dyDescent="0.3">
      <c r="B126" s="125"/>
      <c r="D126" s="115"/>
      <c r="E126" s="115"/>
      <c r="P126" s="739"/>
      <c r="Q126" s="739"/>
      <c r="T126" s="337"/>
      <c r="AC126" s="739"/>
      <c r="AD126" s="739"/>
      <c r="AE126" s="336"/>
      <c r="AP126" s="765">
        <f>ROUND(SUM(P126:AE126),0)</f>
        <v>0</v>
      </c>
      <c r="AQ126" s="765"/>
      <c r="AS126" s="337"/>
      <c r="AU126" s="336"/>
    </row>
    <row r="127" spans="1:47" x14ac:dyDescent="0.3">
      <c r="B127" s="125"/>
      <c r="D127" s="115"/>
      <c r="E127" s="115"/>
      <c r="P127" s="739"/>
      <c r="Q127" s="739"/>
      <c r="T127" s="337"/>
      <c r="AC127" s="739"/>
      <c r="AD127" s="739"/>
      <c r="AE127" s="336"/>
      <c r="AP127" s="765">
        <f>ROUND(SUM(P127:AE127),0)</f>
        <v>0</v>
      </c>
      <c r="AQ127" s="765"/>
      <c r="AS127" s="337"/>
      <c r="AU127" s="336"/>
    </row>
    <row r="128" spans="1:47" x14ac:dyDescent="0.3">
      <c r="B128" s="125"/>
      <c r="D128" s="115"/>
      <c r="E128" s="115"/>
      <c r="P128" s="739"/>
      <c r="Q128" s="739"/>
      <c r="T128" s="337"/>
      <c r="AC128" s="739"/>
      <c r="AD128" s="739"/>
      <c r="AE128" s="336"/>
      <c r="AP128" s="765">
        <f>ROUND(SUM(P128:AE128),0)</f>
        <v>0</v>
      </c>
      <c r="AQ128" s="765"/>
      <c r="AS128" s="337"/>
      <c r="AU128" s="336"/>
    </row>
    <row r="129" spans="1:47" x14ac:dyDescent="0.3">
      <c r="B129" s="125"/>
      <c r="D129" s="115"/>
      <c r="E129" s="115"/>
      <c r="P129" s="739"/>
      <c r="Q129" s="739"/>
      <c r="T129" s="337"/>
      <c r="AC129" s="739"/>
      <c r="AD129" s="739"/>
      <c r="AE129" s="336"/>
      <c r="AP129" s="765">
        <f>ROUND(SUM(P129:AE129),0)</f>
        <v>0</v>
      </c>
      <c r="AQ129" s="765"/>
      <c r="AS129" s="337"/>
      <c r="AU129" s="336"/>
    </row>
    <row r="130" spans="1:47" ht="4.5" customHeight="1" x14ac:dyDescent="0.3">
      <c r="B130" s="125"/>
      <c r="D130" s="132"/>
      <c r="E130" s="132"/>
      <c r="F130" s="141"/>
      <c r="G130" s="296"/>
      <c r="H130" s="135"/>
      <c r="I130" s="135"/>
      <c r="J130" s="135"/>
      <c r="K130" s="135"/>
      <c r="L130" s="135"/>
      <c r="M130" s="135"/>
      <c r="N130" s="135"/>
      <c r="O130" s="135"/>
      <c r="P130" s="763"/>
      <c r="Q130" s="763"/>
      <c r="R130" s="135"/>
      <c r="S130" s="135"/>
      <c r="T130" s="339"/>
      <c r="U130" s="135"/>
      <c r="V130" s="135"/>
      <c r="W130" s="135"/>
      <c r="X130" s="135"/>
      <c r="Y130" s="135"/>
      <c r="Z130" s="135"/>
      <c r="AA130" s="135"/>
      <c r="AB130" s="135"/>
      <c r="AC130" s="763"/>
      <c r="AD130" s="763"/>
      <c r="AE130" s="340"/>
      <c r="AF130" s="135"/>
      <c r="AG130" s="135"/>
      <c r="AH130" s="135"/>
      <c r="AI130" s="135"/>
      <c r="AJ130" s="135"/>
      <c r="AK130" s="135"/>
      <c r="AL130" s="135"/>
      <c r="AM130" s="135"/>
      <c r="AN130" s="135"/>
      <c r="AO130" s="135"/>
      <c r="AP130" s="763"/>
      <c r="AQ130" s="763"/>
      <c r="AS130" s="337"/>
      <c r="AU130" s="336"/>
    </row>
    <row r="131" spans="1:47" x14ac:dyDescent="0.3">
      <c r="B131" s="125"/>
      <c r="C131" s="109" t="str">
        <f>"Subtotal "&amp;C124</f>
        <v>Subtotal Travel</v>
      </c>
      <c r="D131" s="115"/>
      <c r="E131" s="115"/>
      <c r="P131" s="774">
        <f>ROUND(SUM(P125:Q130),0)</f>
        <v>0</v>
      </c>
      <c r="Q131" s="774"/>
      <c r="T131" s="337"/>
      <c r="AC131" s="774">
        <f>ROUND(SUM(AC125:AD130),0)</f>
        <v>0</v>
      </c>
      <c r="AD131" s="774"/>
      <c r="AE131" s="336"/>
      <c r="AP131" s="774">
        <f>ROUND(SUM(AP125:AQ130),0)</f>
        <v>0</v>
      </c>
      <c r="AQ131" s="774"/>
      <c r="AS131" s="337"/>
      <c r="AU131" s="336"/>
    </row>
    <row r="132" spans="1:47" ht="3.75" customHeight="1" x14ac:dyDescent="0.3">
      <c r="B132" s="125"/>
      <c r="C132" s="109"/>
      <c r="D132" s="115"/>
      <c r="E132" s="115"/>
      <c r="P132" s="278"/>
      <c r="Q132" s="278"/>
      <c r="T132" s="337"/>
      <c r="AC132" s="278"/>
      <c r="AD132" s="278"/>
      <c r="AE132" s="336"/>
      <c r="AS132" s="337"/>
      <c r="AU132" s="336"/>
    </row>
    <row r="133" spans="1:47" x14ac:dyDescent="0.3">
      <c r="A133" s="109"/>
      <c r="B133" s="131" t="s">
        <v>816</v>
      </c>
      <c r="C133" s="109" t="s">
        <v>714</v>
      </c>
      <c r="D133" s="115"/>
      <c r="E133" s="115"/>
      <c r="T133" s="337"/>
      <c r="AE133" s="336"/>
      <c r="AP133" s="180"/>
      <c r="AQ133" s="180"/>
      <c r="AS133" s="337"/>
      <c r="AU133" s="336"/>
    </row>
    <row r="134" spans="1:47" x14ac:dyDescent="0.3">
      <c r="B134" s="125"/>
      <c r="D134" s="115"/>
      <c r="E134" s="115"/>
      <c r="P134" s="739"/>
      <c r="Q134" s="739"/>
      <c r="T134" s="337"/>
      <c r="AC134" s="739"/>
      <c r="AD134" s="739"/>
      <c r="AE134" s="336"/>
      <c r="AP134" s="765">
        <f>ROUND(SUM(P134:AE134),0)</f>
        <v>0</v>
      </c>
      <c r="AQ134" s="765"/>
      <c r="AS134" s="337"/>
      <c r="AU134" s="336"/>
    </row>
    <row r="135" spans="1:47" x14ac:dyDescent="0.3">
      <c r="B135" s="125"/>
      <c r="D135" s="115"/>
      <c r="E135" s="115"/>
      <c r="P135" s="739"/>
      <c r="Q135" s="739"/>
      <c r="T135" s="337"/>
      <c r="AC135" s="739"/>
      <c r="AD135" s="739"/>
      <c r="AE135" s="336"/>
      <c r="AP135" s="765">
        <f>ROUND(SUM(P135:AE135),0)</f>
        <v>0</v>
      </c>
      <c r="AQ135" s="765"/>
      <c r="AS135" s="337"/>
      <c r="AU135" s="336"/>
    </row>
    <row r="136" spans="1:47" x14ac:dyDescent="0.3">
      <c r="B136" s="125"/>
      <c r="D136" s="115"/>
      <c r="E136" s="115"/>
      <c r="P136" s="739"/>
      <c r="Q136" s="739"/>
      <c r="T136" s="337"/>
      <c r="AC136" s="739"/>
      <c r="AD136" s="739"/>
      <c r="AE136" s="336"/>
      <c r="AP136" s="765">
        <f>ROUND(SUM(P136:AE136),0)</f>
        <v>0</v>
      </c>
      <c r="AQ136" s="765"/>
      <c r="AS136" s="337"/>
      <c r="AU136" s="336"/>
    </row>
    <row r="137" spans="1:47" x14ac:dyDescent="0.3">
      <c r="B137" s="125"/>
      <c r="D137" s="115"/>
      <c r="E137" s="115"/>
      <c r="P137" s="739"/>
      <c r="Q137" s="739"/>
      <c r="T137" s="337"/>
      <c r="AC137" s="739"/>
      <c r="AD137" s="739"/>
      <c r="AE137" s="336"/>
      <c r="AP137" s="765">
        <f>ROUND(SUM(P137:AE137),0)</f>
        <v>0</v>
      </c>
      <c r="AQ137" s="765"/>
      <c r="AS137" s="337"/>
      <c r="AU137" s="336"/>
    </row>
    <row r="138" spans="1:47" x14ac:dyDescent="0.3">
      <c r="B138" s="125"/>
      <c r="D138" s="115"/>
      <c r="E138" s="115"/>
      <c r="P138" s="739"/>
      <c r="Q138" s="739"/>
      <c r="T138" s="337"/>
      <c r="AC138" s="739"/>
      <c r="AD138" s="739"/>
      <c r="AE138" s="336"/>
      <c r="AP138" s="765">
        <f>ROUND(SUM(P138:AE138),0)</f>
        <v>0</v>
      </c>
      <c r="AQ138" s="765"/>
      <c r="AS138" s="337"/>
      <c r="AU138" s="336"/>
    </row>
    <row r="139" spans="1:47" ht="4.5" customHeight="1" x14ac:dyDescent="0.3">
      <c r="B139" s="125"/>
      <c r="D139" s="132"/>
      <c r="E139" s="132"/>
      <c r="F139" s="141"/>
      <c r="G139" s="296"/>
      <c r="H139" s="135"/>
      <c r="I139" s="135"/>
      <c r="J139" s="135"/>
      <c r="K139" s="135"/>
      <c r="L139" s="135"/>
      <c r="M139" s="135"/>
      <c r="N139" s="135"/>
      <c r="O139" s="135"/>
      <c r="P139" s="763"/>
      <c r="Q139" s="763"/>
      <c r="R139" s="135"/>
      <c r="S139" s="135"/>
      <c r="T139" s="339"/>
      <c r="U139" s="135"/>
      <c r="V139" s="135"/>
      <c r="W139" s="135"/>
      <c r="X139" s="135"/>
      <c r="Y139" s="135"/>
      <c r="Z139" s="135"/>
      <c r="AA139" s="135"/>
      <c r="AB139" s="135"/>
      <c r="AC139" s="763"/>
      <c r="AD139" s="763"/>
      <c r="AE139" s="340"/>
      <c r="AF139" s="135"/>
      <c r="AG139" s="135"/>
      <c r="AH139" s="135"/>
      <c r="AI139" s="135"/>
      <c r="AJ139" s="135"/>
      <c r="AK139" s="135"/>
      <c r="AL139" s="135"/>
      <c r="AM139" s="135"/>
      <c r="AN139" s="135"/>
      <c r="AO139" s="135"/>
      <c r="AP139" s="763"/>
      <c r="AQ139" s="763"/>
      <c r="AS139" s="337"/>
      <c r="AU139" s="336"/>
    </row>
    <row r="140" spans="1:47" x14ac:dyDescent="0.3">
      <c r="B140" s="125"/>
      <c r="C140" s="109" t="str">
        <f>"Subtotal "&amp;C133</f>
        <v>Subtotal Subsistence</v>
      </c>
      <c r="D140" s="115"/>
      <c r="E140" s="115"/>
      <c r="P140" s="774">
        <f>ROUND(SUM(P134:Q139),0)</f>
        <v>0</v>
      </c>
      <c r="Q140" s="774"/>
      <c r="T140" s="337"/>
      <c r="AC140" s="774">
        <f>ROUND(SUM(AC134:AD139),0)</f>
        <v>0</v>
      </c>
      <c r="AD140" s="774"/>
      <c r="AE140" s="336"/>
      <c r="AP140" s="774">
        <f>ROUND(SUM(AP134:AQ139),0)</f>
        <v>0</v>
      </c>
      <c r="AQ140" s="774"/>
      <c r="AS140" s="337"/>
      <c r="AU140" s="336"/>
    </row>
    <row r="141" spans="1:47" ht="9" customHeight="1" x14ac:dyDescent="0.3">
      <c r="B141" s="125"/>
      <c r="C141" s="109"/>
      <c r="D141" s="115"/>
      <c r="E141" s="115"/>
      <c r="P141" s="278"/>
      <c r="Q141" s="278"/>
      <c r="T141" s="337"/>
      <c r="AC141" s="278"/>
      <c r="AD141" s="278"/>
      <c r="AE141" s="336"/>
      <c r="AS141" s="337"/>
      <c r="AU141" s="336"/>
    </row>
    <row r="142" spans="1:47" x14ac:dyDescent="0.3">
      <c r="A142" s="109"/>
      <c r="B142" s="131" t="s">
        <v>817</v>
      </c>
      <c r="C142" s="109" t="s">
        <v>679</v>
      </c>
      <c r="D142" s="115"/>
      <c r="E142" s="115"/>
      <c r="T142" s="337"/>
      <c r="AE142" s="336"/>
      <c r="AP142" s="180"/>
      <c r="AQ142" s="180"/>
      <c r="AS142" s="337"/>
      <c r="AU142" s="336"/>
    </row>
    <row r="143" spans="1:47" x14ac:dyDescent="0.3">
      <c r="B143" s="125"/>
      <c r="D143" s="115"/>
      <c r="E143" s="115"/>
      <c r="P143" s="739"/>
      <c r="Q143" s="739"/>
      <c r="T143" s="337"/>
      <c r="AC143" s="739"/>
      <c r="AD143" s="739"/>
      <c r="AE143" s="336"/>
      <c r="AP143" s="765">
        <f>ROUND(SUM(P143:AE143),0)</f>
        <v>0</v>
      </c>
      <c r="AQ143" s="765"/>
      <c r="AS143" s="337"/>
      <c r="AU143" s="336"/>
    </row>
    <row r="144" spans="1:47" x14ac:dyDescent="0.3">
      <c r="B144" s="125"/>
      <c r="D144" s="115"/>
      <c r="E144" s="115"/>
      <c r="P144" s="739"/>
      <c r="Q144" s="739"/>
      <c r="T144" s="337"/>
      <c r="AC144" s="739"/>
      <c r="AD144" s="739"/>
      <c r="AE144" s="336"/>
      <c r="AP144" s="765">
        <f>ROUND(SUM(P144:AE144),0)</f>
        <v>0</v>
      </c>
      <c r="AQ144" s="765"/>
      <c r="AS144" s="337"/>
      <c r="AU144" s="336"/>
    </row>
    <row r="145" spans="1:47" x14ac:dyDescent="0.3">
      <c r="B145" s="125"/>
      <c r="D145" s="115"/>
      <c r="E145" s="115"/>
      <c r="P145" s="739"/>
      <c r="Q145" s="739"/>
      <c r="T145" s="337"/>
      <c r="AC145" s="739"/>
      <c r="AD145" s="739"/>
      <c r="AE145" s="336"/>
      <c r="AP145" s="765">
        <f>ROUND(SUM(P145:AE145),0)</f>
        <v>0</v>
      </c>
      <c r="AQ145" s="765"/>
      <c r="AS145" s="337"/>
      <c r="AU145" s="336"/>
    </row>
    <row r="146" spans="1:47" x14ac:dyDescent="0.3">
      <c r="B146" s="125"/>
      <c r="D146" s="115"/>
      <c r="E146" s="115"/>
      <c r="P146" s="739"/>
      <c r="Q146" s="739"/>
      <c r="T146" s="337"/>
      <c r="AC146" s="739"/>
      <c r="AD146" s="739"/>
      <c r="AE146" s="336"/>
      <c r="AP146" s="765">
        <f>ROUND(SUM(P146:AE146),0)</f>
        <v>0</v>
      </c>
      <c r="AQ146" s="765"/>
      <c r="AS146" s="337"/>
      <c r="AU146" s="336"/>
    </row>
    <row r="147" spans="1:47" x14ac:dyDescent="0.3">
      <c r="B147" s="125"/>
      <c r="D147" s="115"/>
      <c r="E147" s="115"/>
      <c r="P147" s="739"/>
      <c r="Q147" s="739"/>
      <c r="T147" s="337"/>
      <c r="AC147" s="739"/>
      <c r="AD147" s="739"/>
      <c r="AE147" s="336"/>
      <c r="AP147" s="765">
        <f>ROUND(SUM(P147:AE147),0)</f>
        <v>0</v>
      </c>
      <c r="AQ147" s="765"/>
      <c r="AS147" s="337"/>
      <c r="AU147" s="336"/>
    </row>
    <row r="148" spans="1:47" ht="4.5" customHeight="1" x14ac:dyDescent="0.3">
      <c r="B148" s="125"/>
      <c r="D148" s="132"/>
      <c r="E148" s="132"/>
      <c r="F148" s="141"/>
      <c r="G148" s="296"/>
      <c r="H148" s="135"/>
      <c r="I148" s="135"/>
      <c r="J148" s="135"/>
      <c r="K148" s="135"/>
      <c r="L148" s="135"/>
      <c r="M148" s="135"/>
      <c r="N148" s="135"/>
      <c r="O148" s="135"/>
      <c r="P148" s="763"/>
      <c r="Q148" s="763"/>
      <c r="R148" s="135"/>
      <c r="S148" s="135"/>
      <c r="T148" s="339"/>
      <c r="U148" s="135"/>
      <c r="V148" s="135"/>
      <c r="W148" s="135"/>
      <c r="X148" s="135"/>
      <c r="Y148" s="135"/>
      <c r="Z148" s="135"/>
      <c r="AA148" s="135"/>
      <c r="AB148" s="135"/>
      <c r="AC148" s="763"/>
      <c r="AD148" s="763"/>
      <c r="AE148" s="340"/>
      <c r="AF148" s="135"/>
      <c r="AG148" s="135"/>
      <c r="AH148" s="135"/>
      <c r="AI148" s="135"/>
      <c r="AJ148" s="135"/>
      <c r="AK148" s="135"/>
      <c r="AL148" s="135"/>
      <c r="AM148" s="135"/>
      <c r="AN148" s="135"/>
      <c r="AO148" s="135"/>
      <c r="AP148" s="763"/>
      <c r="AQ148" s="763"/>
      <c r="AS148" s="337"/>
      <c r="AU148" s="336"/>
    </row>
    <row r="149" spans="1:47" x14ac:dyDescent="0.3">
      <c r="B149" s="125"/>
      <c r="C149" s="109" t="str">
        <f>"Subtotal "&amp;C142</f>
        <v>Subtotal Other</v>
      </c>
      <c r="D149" s="115"/>
      <c r="E149" s="115"/>
      <c r="P149" s="774">
        <f>ROUND(SUM(P143:Q148),0)</f>
        <v>0</v>
      </c>
      <c r="Q149" s="774"/>
      <c r="T149" s="337"/>
      <c r="AC149" s="774">
        <f>ROUND(SUM(AC143:AD148),0)</f>
        <v>0</v>
      </c>
      <c r="AD149" s="774"/>
      <c r="AE149" s="336"/>
      <c r="AP149" s="774">
        <f>ROUND(SUM(AP143:AQ148),0)</f>
        <v>0</v>
      </c>
      <c r="AQ149" s="774"/>
      <c r="AS149" s="337"/>
      <c r="AU149" s="336"/>
    </row>
    <row r="150" spans="1:47" ht="3" customHeight="1" x14ac:dyDescent="0.3">
      <c r="B150" s="772"/>
      <c r="C150" s="772"/>
      <c r="D150" s="772"/>
      <c r="E150" s="772"/>
      <c r="F150" s="772"/>
      <c r="G150" s="772"/>
      <c r="H150" s="772"/>
      <c r="I150" s="772"/>
      <c r="J150" s="772"/>
      <c r="K150" s="772"/>
      <c r="L150" s="772"/>
      <c r="M150" s="135"/>
      <c r="N150" s="135"/>
      <c r="O150" s="135"/>
      <c r="P150" s="763"/>
      <c r="Q150" s="763"/>
      <c r="R150" s="135"/>
      <c r="S150" s="135"/>
      <c r="T150" s="339"/>
      <c r="U150" s="135"/>
      <c r="V150" s="135"/>
      <c r="W150" s="135"/>
      <c r="X150" s="135"/>
      <c r="Y150" s="135"/>
      <c r="Z150" s="135"/>
      <c r="AA150" s="135"/>
      <c r="AB150" s="135"/>
      <c r="AC150" s="763"/>
      <c r="AD150" s="763"/>
      <c r="AE150" s="340"/>
      <c r="AF150" s="135"/>
      <c r="AG150" s="135"/>
      <c r="AH150" s="135"/>
      <c r="AI150" s="135"/>
      <c r="AJ150" s="135"/>
      <c r="AK150" s="135"/>
      <c r="AL150" s="135"/>
      <c r="AM150" s="135"/>
      <c r="AN150" s="135"/>
      <c r="AO150" s="135"/>
      <c r="AP150" s="763"/>
      <c r="AQ150" s="763"/>
      <c r="AS150" s="337"/>
      <c r="AU150" s="336"/>
    </row>
    <row r="151" spans="1:47" x14ac:dyDescent="0.3">
      <c r="B151" s="158" t="str">
        <f>CONCATENATE("TOTAL ",B105)</f>
        <v>TOTAL PARTICIPANT/TRAINEE SUPPORT COSTS</v>
      </c>
      <c r="C151" s="159"/>
      <c r="D151" s="170"/>
      <c r="E151" s="170"/>
      <c r="F151" s="312"/>
      <c r="G151" s="298"/>
      <c r="H151" s="289"/>
      <c r="I151" s="289"/>
      <c r="J151" s="289"/>
      <c r="K151" s="289"/>
      <c r="L151" s="289"/>
      <c r="M151" s="289"/>
      <c r="N151" s="289"/>
      <c r="O151" s="289"/>
      <c r="P151" s="726">
        <f>ROUND(P113+P122+P131+P140+P149,0)</f>
        <v>0</v>
      </c>
      <c r="Q151" s="726"/>
      <c r="R151" s="289"/>
      <c r="S151" s="289"/>
      <c r="T151" s="341"/>
      <c r="U151" s="289"/>
      <c r="V151" s="289"/>
      <c r="W151" s="289"/>
      <c r="X151" s="289"/>
      <c r="Y151" s="289"/>
      <c r="Z151" s="289"/>
      <c r="AA151" s="289"/>
      <c r="AB151" s="289"/>
      <c r="AC151" s="726">
        <f>ROUND(AC113+AC122+AC131+AC140+AC149,0)</f>
        <v>0</v>
      </c>
      <c r="AD151" s="726"/>
      <c r="AE151" s="342"/>
      <c r="AF151" s="289"/>
      <c r="AG151" s="289"/>
      <c r="AH151" s="289"/>
      <c r="AI151" s="289"/>
      <c r="AJ151" s="289"/>
      <c r="AK151" s="289"/>
      <c r="AL151" s="289"/>
      <c r="AM151" s="289"/>
      <c r="AN151" s="289"/>
      <c r="AO151" s="289"/>
      <c r="AP151" s="761">
        <f>ROUND(SUM(AP105:AQ150),0)</f>
        <v>0</v>
      </c>
      <c r="AQ151" s="761"/>
      <c r="AS151" s="514">
        <f>P151</f>
        <v>0</v>
      </c>
      <c r="AU151" s="515">
        <f>AC151</f>
        <v>0</v>
      </c>
    </row>
    <row r="152" spans="1:47" ht="3" customHeight="1" x14ac:dyDescent="0.3">
      <c r="D152" s="115"/>
      <c r="E152" s="115"/>
      <c r="T152" s="337"/>
      <c r="AE152" s="336"/>
      <c r="AP152" s="180"/>
      <c r="AQ152" s="180"/>
      <c r="AS152" s="337"/>
      <c r="AU152" s="336"/>
    </row>
    <row r="153" spans="1:47" x14ac:dyDescent="0.3">
      <c r="A153" s="109" t="s">
        <v>674</v>
      </c>
      <c r="B153" s="109" t="s">
        <v>777</v>
      </c>
      <c r="C153" s="109"/>
      <c r="D153" s="115"/>
      <c r="E153" s="115"/>
      <c r="T153" s="337"/>
      <c r="AE153" s="336"/>
      <c r="AP153" s="180"/>
      <c r="AQ153" s="180"/>
      <c r="AS153" s="337"/>
      <c r="AU153" s="336"/>
    </row>
    <row r="154" spans="1:47" x14ac:dyDescent="0.3">
      <c r="A154" s="109"/>
      <c r="B154" s="131" t="s">
        <v>802</v>
      </c>
      <c r="C154" s="109" t="s">
        <v>720</v>
      </c>
      <c r="D154" s="115"/>
      <c r="E154" s="115"/>
      <c r="T154" s="337"/>
      <c r="AE154" s="336"/>
      <c r="AP154" s="180"/>
      <c r="AQ154" s="180"/>
      <c r="AS154" s="337"/>
      <c r="AU154" s="336"/>
    </row>
    <row r="155" spans="1:47" x14ac:dyDescent="0.3">
      <c r="B155" s="125"/>
      <c r="C155" s="279"/>
      <c r="D155" s="106">
        <f>'YEAR 1'!D155</f>
        <v>0</v>
      </c>
      <c r="E155" s="115"/>
      <c r="P155" s="739"/>
      <c r="Q155" s="739"/>
      <c r="T155" s="337"/>
      <c r="AC155" s="739"/>
      <c r="AD155" s="739"/>
      <c r="AE155" s="336"/>
      <c r="AP155" s="765">
        <f>ROUND(SUM(P155:AE155),0)</f>
        <v>0</v>
      </c>
      <c r="AQ155" s="765"/>
      <c r="AS155" s="337"/>
      <c r="AU155" s="336"/>
    </row>
    <row r="156" spans="1:47" x14ac:dyDescent="0.3">
      <c r="B156" s="125"/>
      <c r="C156" s="279"/>
      <c r="D156" s="106">
        <f>'YEAR 1'!D156</f>
        <v>0</v>
      </c>
      <c r="E156" s="115"/>
      <c r="P156" s="739"/>
      <c r="Q156" s="739"/>
      <c r="T156" s="337"/>
      <c r="AC156" s="739"/>
      <c r="AD156" s="739"/>
      <c r="AE156" s="336"/>
      <c r="AP156" s="765">
        <f>ROUND(SUM(P156:AE156),0)</f>
        <v>0</v>
      </c>
      <c r="AQ156" s="765"/>
      <c r="AS156" s="337"/>
      <c r="AU156" s="336"/>
    </row>
    <row r="157" spans="1:47" x14ac:dyDescent="0.3">
      <c r="B157" s="125"/>
      <c r="C157" s="113"/>
      <c r="D157" s="106">
        <f>'YEAR 1'!D157</f>
        <v>0</v>
      </c>
      <c r="E157" s="115"/>
      <c r="P157" s="739"/>
      <c r="Q157" s="739"/>
      <c r="T157" s="337"/>
      <c r="AC157" s="739"/>
      <c r="AD157" s="739"/>
      <c r="AE157" s="336"/>
      <c r="AP157" s="765">
        <f>ROUND(SUM(P157:AE157),0)</f>
        <v>0</v>
      </c>
      <c r="AQ157" s="765"/>
      <c r="AS157" s="337"/>
      <c r="AU157" s="336"/>
    </row>
    <row r="158" spans="1:47" x14ac:dyDescent="0.3">
      <c r="B158" s="125"/>
      <c r="D158" s="106">
        <f>'YEAR 1'!D158</f>
        <v>0</v>
      </c>
      <c r="E158" s="115"/>
      <c r="P158" s="739"/>
      <c r="Q158" s="739"/>
      <c r="T158" s="337"/>
      <c r="AC158" s="739"/>
      <c r="AD158" s="739"/>
      <c r="AE158" s="336"/>
      <c r="AP158" s="765">
        <f>ROUND(SUM(P158:AE158),0)</f>
        <v>0</v>
      </c>
      <c r="AQ158" s="765"/>
      <c r="AS158" s="337"/>
      <c r="AU158" s="336"/>
    </row>
    <row r="159" spans="1:47" x14ac:dyDescent="0.3">
      <c r="B159" s="125"/>
      <c r="D159" s="106">
        <f>'YEAR 1'!D159</f>
        <v>0</v>
      </c>
      <c r="E159" s="115"/>
      <c r="P159" s="739"/>
      <c r="Q159" s="739"/>
      <c r="T159" s="337"/>
      <c r="AE159" s="336"/>
      <c r="AP159" s="608"/>
      <c r="AQ159" s="608"/>
      <c r="AS159" s="337"/>
      <c r="AU159" s="336"/>
    </row>
    <row r="160" spans="1:47" x14ac:dyDescent="0.3">
      <c r="B160" s="125"/>
      <c r="D160" s="106">
        <f>'YEAR 1'!D160</f>
        <v>0</v>
      </c>
      <c r="E160" s="115"/>
      <c r="P160" s="739"/>
      <c r="Q160" s="739"/>
      <c r="T160" s="337"/>
      <c r="AE160" s="336"/>
      <c r="AP160" s="608"/>
      <c r="AQ160" s="608"/>
      <c r="AS160" s="337"/>
      <c r="AU160" s="336"/>
    </row>
    <row r="161" spans="1:47" hidden="1" x14ac:dyDescent="0.3">
      <c r="B161" s="125"/>
      <c r="D161" s="106">
        <f>'YEAR 1'!D161</f>
        <v>0</v>
      </c>
      <c r="E161" s="115"/>
      <c r="P161" s="739"/>
      <c r="Q161" s="739"/>
      <c r="T161" s="337"/>
      <c r="AE161" s="336"/>
      <c r="AP161" s="608"/>
      <c r="AQ161" s="608"/>
      <c r="AS161" s="337"/>
      <c r="AU161" s="336"/>
    </row>
    <row r="162" spans="1:47" hidden="1" x14ac:dyDescent="0.3">
      <c r="B162" s="125"/>
      <c r="D162" s="106">
        <f>'YEAR 1'!D162</f>
        <v>0</v>
      </c>
      <c r="E162" s="115"/>
      <c r="P162" s="739"/>
      <c r="Q162" s="739"/>
      <c r="T162" s="337"/>
      <c r="AE162" s="336"/>
      <c r="AP162" s="608"/>
      <c r="AQ162" s="608"/>
      <c r="AS162" s="337"/>
      <c r="AU162" s="336"/>
    </row>
    <row r="163" spans="1:47" hidden="1" x14ac:dyDescent="0.3">
      <c r="B163" s="125"/>
      <c r="D163" s="106">
        <f>'YEAR 1'!D163</f>
        <v>0</v>
      </c>
      <c r="E163" s="115"/>
      <c r="P163" s="739"/>
      <c r="Q163" s="739"/>
      <c r="T163" s="337"/>
      <c r="AE163" s="336"/>
      <c r="AP163" s="608"/>
      <c r="AQ163" s="608"/>
      <c r="AS163" s="337"/>
      <c r="AU163" s="336"/>
    </row>
    <row r="164" spans="1:47" hidden="1" x14ac:dyDescent="0.3">
      <c r="B164" s="125"/>
      <c r="D164" s="106">
        <f>'YEAR 1'!D164</f>
        <v>0</v>
      </c>
      <c r="E164" s="115"/>
      <c r="P164" s="739"/>
      <c r="Q164" s="739"/>
      <c r="T164" s="337"/>
      <c r="AC164" s="739"/>
      <c r="AD164" s="739"/>
      <c r="AE164" s="336"/>
      <c r="AP164" s="765">
        <f>ROUND(SUM(P164:AE164),0)</f>
        <v>0</v>
      </c>
      <c r="AQ164" s="765"/>
      <c r="AS164" s="337"/>
      <c r="AU164" s="336"/>
    </row>
    <row r="165" spans="1:47" ht="3" customHeight="1" x14ac:dyDescent="0.3">
      <c r="B165" s="125"/>
      <c r="D165" s="132"/>
      <c r="E165" s="132"/>
      <c r="F165" s="141"/>
      <c r="G165" s="296"/>
      <c r="H165" s="135"/>
      <c r="I165" s="135"/>
      <c r="J165" s="135"/>
      <c r="K165" s="135"/>
      <c r="L165" s="135"/>
      <c r="M165" s="135"/>
      <c r="N165" s="135"/>
      <c r="O165" s="135"/>
      <c r="P165" s="763"/>
      <c r="Q165" s="763"/>
      <c r="R165" s="135"/>
      <c r="S165" s="135"/>
      <c r="T165" s="339"/>
      <c r="U165" s="135"/>
      <c r="V165" s="135"/>
      <c r="W165" s="135"/>
      <c r="X165" s="135"/>
      <c r="Y165" s="135"/>
      <c r="Z165" s="135"/>
      <c r="AA165" s="135"/>
      <c r="AB165" s="135"/>
      <c r="AC165" s="763"/>
      <c r="AD165" s="763"/>
      <c r="AE165" s="340"/>
      <c r="AF165" s="135"/>
      <c r="AG165" s="135"/>
      <c r="AH165" s="135"/>
      <c r="AI165" s="135"/>
      <c r="AJ165" s="135"/>
      <c r="AK165" s="135"/>
      <c r="AL165" s="135"/>
      <c r="AM165" s="135"/>
      <c r="AN165" s="135"/>
      <c r="AO165" s="135"/>
      <c r="AP165" s="763"/>
      <c r="AQ165" s="763"/>
      <c r="AS165" s="337"/>
      <c r="AU165" s="336"/>
    </row>
    <row r="166" spans="1:47" x14ac:dyDescent="0.3">
      <c r="B166" s="125"/>
      <c r="C166" s="109" t="str">
        <f>"Subtotal "&amp;C154</f>
        <v>Subtotal Materials &amp; Supplies</v>
      </c>
      <c r="D166" s="115"/>
      <c r="E166" s="115"/>
      <c r="P166" s="774">
        <f>ROUND(SUM(P155:Q165),0)</f>
        <v>0</v>
      </c>
      <c r="Q166" s="774"/>
      <c r="T166" s="337"/>
      <c r="AC166" s="774">
        <f>ROUND(SUM(AC155:AD165),0)</f>
        <v>0</v>
      </c>
      <c r="AD166" s="774"/>
      <c r="AE166" s="336"/>
      <c r="AP166" s="774">
        <f>ROUND(SUM(AP155:AQ165),0)</f>
        <v>0</v>
      </c>
      <c r="AQ166" s="774"/>
      <c r="AS166" s="337"/>
      <c r="AU166" s="336"/>
    </row>
    <row r="167" spans="1:47" ht="3" customHeight="1" x14ac:dyDescent="0.3">
      <c r="B167" s="125"/>
      <c r="C167" s="109"/>
      <c r="D167" s="115"/>
      <c r="E167" s="115"/>
      <c r="P167" s="278"/>
      <c r="Q167" s="278"/>
      <c r="T167" s="337"/>
      <c r="AC167" s="278"/>
      <c r="AD167" s="278"/>
      <c r="AE167" s="336"/>
      <c r="AS167" s="337"/>
      <c r="AU167" s="336"/>
    </row>
    <row r="168" spans="1:47" x14ac:dyDescent="0.3">
      <c r="A168" s="109"/>
      <c r="B168" s="131" t="s">
        <v>811</v>
      </c>
      <c r="C168" s="109" t="s">
        <v>818</v>
      </c>
      <c r="D168" s="115"/>
      <c r="E168" s="115"/>
      <c r="T168" s="337"/>
      <c r="AE168" s="336"/>
      <c r="AP168" s="180"/>
      <c r="AQ168" s="180"/>
      <c r="AS168" s="337"/>
      <c r="AU168" s="336"/>
    </row>
    <row r="169" spans="1:47" x14ac:dyDescent="0.3">
      <c r="B169" s="125"/>
      <c r="D169" s="106" t="s">
        <v>819</v>
      </c>
      <c r="E169" s="115"/>
      <c r="P169" s="739"/>
      <c r="Q169" s="739"/>
      <c r="T169" s="337"/>
      <c r="AC169" s="739"/>
      <c r="AD169" s="739"/>
      <c r="AE169" s="336"/>
      <c r="AP169" s="765">
        <f>ROUND(SUM(P169:AE169),0)</f>
        <v>0</v>
      </c>
      <c r="AQ169" s="765"/>
      <c r="AS169" s="337"/>
      <c r="AU169" s="336"/>
    </row>
    <row r="170" spans="1:47" x14ac:dyDescent="0.3">
      <c r="B170" s="125"/>
      <c r="D170" s="106">
        <f>'YEAR 1'!D170</f>
        <v>0</v>
      </c>
      <c r="E170" s="115"/>
      <c r="P170" s="739"/>
      <c r="Q170" s="739"/>
      <c r="T170" s="337"/>
      <c r="AC170" s="739"/>
      <c r="AD170" s="739"/>
      <c r="AE170" s="336"/>
      <c r="AP170" s="765">
        <f>ROUND(SUM(P170:AE170),0)</f>
        <v>0</v>
      </c>
      <c r="AQ170" s="765"/>
      <c r="AS170" s="337"/>
      <c r="AU170" s="336"/>
    </row>
    <row r="171" spans="1:47" x14ac:dyDescent="0.3">
      <c r="B171" s="125"/>
      <c r="D171" s="106">
        <f>'YEAR 1'!D171</f>
        <v>0</v>
      </c>
      <c r="E171" s="115"/>
      <c r="P171" s="739"/>
      <c r="Q171" s="739"/>
      <c r="T171" s="337"/>
      <c r="AC171" s="739"/>
      <c r="AD171" s="739"/>
      <c r="AE171" s="336"/>
      <c r="AP171" s="765">
        <f>ROUND(SUM(P171:AE171),0)</f>
        <v>0</v>
      </c>
      <c r="AQ171" s="765"/>
      <c r="AS171" s="337"/>
      <c r="AU171" s="336"/>
    </row>
    <row r="172" spans="1:47" x14ac:dyDescent="0.3">
      <c r="B172" s="125"/>
      <c r="D172" s="106">
        <f>'YEAR 1'!D172</f>
        <v>0</v>
      </c>
      <c r="E172" s="115"/>
      <c r="P172" s="739"/>
      <c r="Q172" s="739"/>
      <c r="T172" s="337"/>
      <c r="AC172" s="739"/>
      <c r="AD172" s="739"/>
      <c r="AE172" s="336"/>
      <c r="AP172" s="765">
        <f>ROUND(SUM(P172:AE172),0)</f>
        <v>0</v>
      </c>
      <c r="AQ172" s="765"/>
      <c r="AS172" s="337"/>
      <c r="AU172" s="336"/>
    </row>
    <row r="173" spans="1:47" x14ac:dyDescent="0.3">
      <c r="B173" s="125"/>
      <c r="D173" s="106">
        <f>'YEAR 1'!D173</f>
        <v>0</v>
      </c>
      <c r="E173" s="115"/>
      <c r="P173" s="739"/>
      <c r="Q173" s="739"/>
      <c r="T173" s="337"/>
      <c r="AC173" s="739"/>
      <c r="AD173" s="739"/>
      <c r="AE173" s="336"/>
      <c r="AP173" s="765">
        <f>ROUND(SUM(P173:AE173),0)</f>
        <v>0</v>
      </c>
      <c r="AQ173" s="765"/>
      <c r="AS173" s="337"/>
      <c r="AU173" s="336"/>
    </row>
    <row r="174" spans="1:47" ht="3" customHeight="1" x14ac:dyDescent="0.3">
      <c r="B174" s="125"/>
      <c r="D174" s="132"/>
      <c r="E174" s="132"/>
      <c r="F174" s="141"/>
      <c r="G174" s="296"/>
      <c r="H174" s="135"/>
      <c r="I174" s="135"/>
      <c r="J174" s="135"/>
      <c r="K174" s="135"/>
      <c r="L174" s="135"/>
      <c r="M174" s="135"/>
      <c r="N174" s="135"/>
      <c r="O174" s="135"/>
      <c r="P174" s="763"/>
      <c r="Q174" s="763"/>
      <c r="R174" s="135"/>
      <c r="S174" s="135"/>
      <c r="T174" s="339"/>
      <c r="U174" s="135"/>
      <c r="V174" s="135"/>
      <c r="W174" s="135"/>
      <c r="X174" s="135"/>
      <c r="Y174" s="135"/>
      <c r="Z174" s="135"/>
      <c r="AA174" s="135"/>
      <c r="AB174" s="135"/>
      <c r="AC174" s="763"/>
      <c r="AD174" s="763"/>
      <c r="AE174" s="340"/>
      <c r="AF174" s="135"/>
      <c r="AG174" s="135"/>
      <c r="AH174" s="135"/>
      <c r="AI174" s="135"/>
      <c r="AJ174" s="135"/>
      <c r="AK174" s="135"/>
      <c r="AL174" s="135"/>
      <c r="AM174" s="135"/>
      <c r="AN174" s="135"/>
      <c r="AO174" s="135"/>
      <c r="AP174" s="763"/>
      <c r="AQ174" s="763"/>
      <c r="AS174" s="337"/>
      <c r="AU174" s="336"/>
    </row>
    <row r="175" spans="1:47" x14ac:dyDescent="0.3">
      <c r="B175" s="125"/>
      <c r="C175" s="109" t="str">
        <f>"Subtotal "&amp;C168</f>
        <v>Subtotal Publications</v>
      </c>
      <c r="D175" s="115"/>
      <c r="E175" s="115"/>
      <c r="P175" s="762">
        <f>ROUND(SUM(P169:Q174),0)</f>
        <v>0</v>
      </c>
      <c r="Q175" s="762"/>
      <c r="T175" s="337"/>
      <c r="AC175" s="762">
        <f>ROUND(SUM(AC169:AD174),0)</f>
        <v>0</v>
      </c>
      <c r="AD175" s="762"/>
      <c r="AE175" s="336"/>
      <c r="AP175" s="762">
        <f>ROUND(SUM(AP169:AQ174),0)</f>
        <v>0</v>
      </c>
      <c r="AQ175" s="762"/>
      <c r="AS175" s="337"/>
      <c r="AU175" s="336"/>
    </row>
    <row r="176" spans="1:47" ht="3" customHeight="1" x14ac:dyDescent="0.3">
      <c r="B176" s="125"/>
      <c r="C176" s="109"/>
      <c r="D176" s="115"/>
      <c r="E176" s="115"/>
      <c r="P176" s="278"/>
      <c r="Q176" s="278"/>
      <c r="T176" s="337"/>
      <c r="AC176" s="278"/>
      <c r="AD176" s="278"/>
      <c r="AE176" s="336"/>
      <c r="AS176" s="337"/>
      <c r="AU176" s="336"/>
    </row>
    <row r="177" spans="1:47" x14ac:dyDescent="0.3">
      <c r="A177" s="109"/>
      <c r="B177" s="131" t="s">
        <v>815</v>
      </c>
      <c r="C177" s="109" t="s">
        <v>820</v>
      </c>
      <c r="D177" s="115"/>
      <c r="E177" s="115"/>
      <c r="T177" s="337"/>
      <c r="AE177" s="336"/>
      <c r="AP177" s="180"/>
      <c r="AQ177" s="180"/>
      <c r="AS177" s="337"/>
      <c r="AU177" s="336"/>
    </row>
    <row r="178" spans="1:47" x14ac:dyDescent="0.3">
      <c r="B178" s="125"/>
      <c r="E178" s="115"/>
      <c r="P178" s="739"/>
      <c r="Q178" s="739"/>
      <c r="T178" s="337"/>
      <c r="AC178" s="739"/>
      <c r="AD178" s="739"/>
      <c r="AE178" s="336"/>
      <c r="AP178" s="765">
        <f>ROUND(SUM(P178:AE178),0)</f>
        <v>0</v>
      </c>
      <c r="AQ178" s="765"/>
      <c r="AS178" s="337"/>
      <c r="AU178" s="336"/>
    </row>
    <row r="179" spans="1:47" x14ac:dyDescent="0.3">
      <c r="B179" s="125"/>
      <c r="D179" s="106">
        <f>'YEAR 1'!D179</f>
        <v>0</v>
      </c>
      <c r="E179" s="115"/>
      <c r="P179" s="739"/>
      <c r="Q179" s="739"/>
      <c r="T179" s="337"/>
      <c r="AC179" s="739"/>
      <c r="AD179" s="739"/>
      <c r="AE179" s="336"/>
      <c r="AP179" s="765">
        <f>ROUND(SUM(P179:AE179),0)</f>
        <v>0</v>
      </c>
      <c r="AQ179" s="765"/>
      <c r="AS179" s="337"/>
      <c r="AU179" s="336"/>
    </row>
    <row r="180" spans="1:47" x14ac:dyDescent="0.3">
      <c r="B180" s="125"/>
      <c r="D180" s="106">
        <f>'YEAR 1'!D180</f>
        <v>0</v>
      </c>
      <c r="E180" s="115"/>
      <c r="P180" s="739"/>
      <c r="Q180" s="739"/>
      <c r="T180" s="337"/>
      <c r="AC180" s="739"/>
      <c r="AD180" s="739"/>
      <c r="AE180" s="336"/>
      <c r="AP180" s="765">
        <f>ROUND(SUM(P180:AE180),0)</f>
        <v>0</v>
      </c>
      <c r="AQ180" s="765"/>
      <c r="AS180" s="337"/>
      <c r="AU180" s="336"/>
    </row>
    <row r="181" spans="1:47" x14ac:dyDescent="0.3">
      <c r="B181" s="125"/>
      <c r="D181" s="106">
        <f>'YEAR 1'!D181</f>
        <v>0</v>
      </c>
      <c r="E181" s="115"/>
      <c r="P181" s="739"/>
      <c r="Q181" s="739"/>
      <c r="T181" s="337"/>
      <c r="AC181" s="739"/>
      <c r="AD181" s="739"/>
      <c r="AE181" s="336"/>
      <c r="AP181" s="765">
        <f>ROUND(SUM(P181:AE181),0)</f>
        <v>0</v>
      </c>
      <c r="AQ181" s="765"/>
      <c r="AS181" s="337"/>
      <c r="AU181" s="336"/>
    </row>
    <row r="182" spans="1:47" x14ac:dyDescent="0.3">
      <c r="B182" s="125"/>
      <c r="D182" s="106">
        <f>'YEAR 1'!D182</f>
        <v>0</v>
      </c>
      <c r="E182" s="115"/>
      <c r="P182" s="739"/>
      <c r="Q182" s="739"/>
      <c r="T182" s="337"/>
      <c r="AC182" s="739"/>
      <c r="AD182" s="739"/>
      <c r="AE182" s="336"/>
      <c r="AP182" s="765">
        <f>ROUND(SUM(P182:AE182),0)</f>
        <v>0</v>
      </c>
      <c r="AQ182" s="765"/>
      <c r="AS182" s="337"/>
      <c r="AU182" s="336"/>
    </row>
    <row r="183" spans="1:47" ht="3" customHeight="1" x14ac:dyDescent="0.3">
      <c r="B183" s="125"/>
      <c r="D183" s="132"/>
      <c r="E183" s="132"/>
      <c r="F183" s="141"/>
      <c r="G183" s="296"/>
      <c r="H183" s="135"/>
      <c r="I183" s="135"/>
      <c r="J183" s="135"/>
      <c r="K183" s="135"/>
      <c r="L183" s="135"/>
      <c r="M183" s="135"/>
      <c r="N183" s="135"/>
      <c r="O183" s="135"/>
      <c r="P183" s="763"/>
      <c r="Q183" s="763"/>
      <c r="R183" s="135"/>
      <c r="S183" s="135"/>
      <c r="T183" s="339"/>
      <c r="U183" s="135"/>
      <c r="V183" s="135"/>
      <c r="W183" s="135"/>
      <c r="X183" s="135"/>
      <c r="Y183" s="135"/>
      <c r="Z183" s="135"/>
      <c r="AA183" s="135"/>
      <c r="AB183" s="135"/>
      <c r="AC183" s="763"/>
      <c r="AD183" s="763"/>
      <c r="AE183" s="340"/>
      <c r="AF183" s="135"/>
      <c r="AG183" s="135"/>
      <c r="AH183" s="135"/>
      <c r="AI183" s="135"/>
      <c r="AJ183" s="135"/>
      <c r="AK183" s="135"/>
      <c r="AL183" s="135"/>
      <c r="AM183" s="135"/>
      <c r="AN183" s="135"/>
      <c r="AO183" s="135"/>
      <c r="AP183" s="763"/>
      <c r="AQ183" s="763"/>
      <c r="AS183" s="337"/>
      <c r="AU183" s="336"/>
    </row>
    <row r="184" spans="1:47" x14ac:dyDescent="0.3">
      <c r="B184" s="125"/>
      <c r="C184" s="109" t="str">
        <f>"Subtotal "&amp;C177</f>
        <v>Subtotal Consultant Services/Contractual</v>
      </c>
      <c r="D184" s="115"/>
      <c r="E184" s="115"/>
      <c r="P184" s="762">
        <f>ROUND(SUM(P178:Q183),0)</f>
        <v>0</v>
      </c>
      <c r="Q184" s="762"/>
      <c r="T184" s="337"/>
      <c r="AC184" s="762">
        <f>ROUND(SUM(AC178:AD183),0)</f>
        <v>0</v>
      </c>
      <c r="AD184" s="762"/>
      <c r="AE184" s="336"/>
      <c r="AP184" s="762">
        <f>ROUND(SUM(AP178:AQ183),0)</f>
        <v>0</v>
      </c>
      <c r="AQ184" s="762"/>
      <c r="AS184" s="337"/>
      <c r="AU184" s="336"/>
    </row>
    <row r="185" spans="1:47" ht="3" customHeight="1" x14ac:dyDescent="0.3">
      <c r="B185" s="125"/>
      <c r="C185" s="109"/>
      <c r="D185" s="115"/>
      <c r="E185" s="115"/>
      <c r="P185" s="278"/>
      <c r="Q185" s="278"/>
      <c r="T185" s="337"/>
      <c r="AC185" s="278"/>
      <c r="AD185" s="278"/>
      <c r="AE185" s="336"/>
      <c r="AS185" s="337"/>
      <c r="AU185" s="336"/>
    </row>
    <row r="186" spans="1:47" x14ac:dyDescent="0.3">
      <c r="A186" s="109"/>
      <c r="B186" s="131" t="s">
        <v>816</v>
      </c>
      <c r="C186" s="109" t="s">
        <v>821</v>
      </c>
      <c r="D186" s="115"/>
      <c r="E186" s="115"/>
      <c r="T186" s="337"/>
      <c r="AE186" s="336"/>
      <c r="AP186" s="180"/>
      <c r="AQ186" s="180"/>
      <c r="AS186" s="337"/>
      <c r="AU186" s="336"/>
    </row>
    <row r="187" spans="1:47" x14ac:dyDescent="0.3">
      <c r="B187" s="125"/>
      <c r="C187" s="279"/>
      <c r="D187" s="106">
        <f>'YEAR 1'!D187</f>
        <v>0</v>
      </c>
      <c r="E187" s="115"/>
      <c r="P187" s="739"/>
      <c r="Q187" s="739"/>
      <c r="T187" s="337"/>
      <c r="AC187" s="739"/>
      <c r="AD187" s="739"/>
      <c r="AE187" s="336"/>
      <c r="AP187" s="765">
        <f>ROUND(SUM(P187:AE187),0)</f>
        <v>0</v>
      </c>
      <c r="AQ187" s="765"/>
      <c r="AS187" s="337"/>
      <c r="AU187" s="336"/>
    </row>
    <row r="188" spans="1:47" x14ac:dyDescent="0.3">
      <c r="B188" s="125"/>
      <c r="C188" s="279"/>
      <c r="D188" s="106">
        <f>'YEAR 1'!D188</f>
        <v>0</v>
      </c>
      <c r="E188" s="115"/>
      <c r="P188" s="739"/>
      <c r="Q188" s="739"/>
      <c r="T188" s="337"/>
      <c r="AC188" s="739"/>
      <c r="AD188" s="739"/>
      <c r="AE188" s="336"/>
      <c r="AP188" s="765">
        <f>ROUND(SUM(P188:AE188),0)</f>
        <v>0</v>
      </c>
      <c r="AQ188" s="765"/>
      <c r="AS188" s="337"/>
      <c r="AU188" s="336"/>
    </row>
    <row r="189" spans="1:47" x14ac:dyDescent="0.3">
      <c r="B189" s="125"/>
      <c r="C189" s="279"/>
      <c r="D189" s="106">
        <f>'YEAR 1'!D189</f>
        <v>0</v>
      </c>
      <c r="E189" s="115"/>
      <c r="P189" s="739"/>
      <c r="Q189" s="739"/>
      <c r="T189" s="337"/>
      <c r="AC189" s="739"/>
      <c r="AD189" s="739"/>
      <c r="AE189" s="336"/>
      <c r="AP189" s="765">
        <f>ROUND(SUM(P189:AE189),0)</f>
        <v>0</v>
      </c>
      <c r="AQ189" s="765"/>
      <c r="AS189" s="337"/>
      <c r="AU189" s="336"/>
    </row>
    <row r="190" spans="1:47" x14ac:dyDescent="0.3">
      <c r="B190" s="125"/>
      <c r="D190" s="106">
        <f>'YEAR 1'!D190</f>
        <v>0</v>
      </c>
      <c r="E190" s="115"/>
      <c r="P190" s="739"/>
      <c r="Q190" s="739"/>
      <c r="T190" s="337"/>
      <c r="AC190" s="739"/>
      <c r="AD190" s="739"/>
      <c r="AE190" s="336"/>
      <c r="AP190" s="765">
        <f>ROUND(SUM(P190:AE190),0)</f>
        <v>0</v>
      </c>
      <c r="AQ190" s="765"/>
      <c r="AS190" s="337"/>
      <c r="AU190" s="336"/>
    </row>
    <row r="191" spans="1:47" x14ac:dyDescent="0.3">
      <c r="B191" s="125"/>
      <c r="D191" s="106">
        <f>'YEAR 1'!D191</f>
        <v>0</v>
      </c>
      <c r="E191" s="115"/>
      <c r="P191" s="739"/>
      <c r="Q191" s="739"/>
      <c r="T191" s="337"/>
      <c r="AC191" s="739"/>
      <c r="AD191" s="739"/>
      <c r="AE191" s="336"/>
      <c r="AP191" s="765">
        <f>ROUND(SUM(P191:AE191),0)</f>
        <v>0</v>
      </c>
      <c r="AQ191" s="765"/>
      <c r="AS191" s="337"/>
      <c r="AU191" s="336"/>
    </row>
    <row r="192" spans="1:47" ht="3" customHeight="1" x14ac:dyDescent="0.3">
      <c r="B192" s="125"/>
      <c r="D192" s="132"/>
      <c r="E192" s="132"/>
      <c r="F192" s="141"/>
      <c r="G192" s="296"/>
      <c r="H192" s="135"/>
      <c r="I192" s="135"/>
      <c r="J192" s="135"/>
      <c r="K192" s="135"/>
      <c r="L192" s="135"/>
      <c r="M192" s="135"/>
      <c r="N192" s="135"/>
      <c r="O192" s="135"/>
      <c r="P192" s="763"/>
      <c r="Q192" s="763"/>
      <c r="R192" s="135"/>
      <c r="S192" s="135"/>
      <c r="T192" s="339"/>
      <c r="U192" s="135"/>
      <c r="V192" s="135"/>
      <c r="W192" s="135"/>
      <c r="X192" s="135"/>
      <c r="Y192" s="135"/>
      <c r="Z192" s="135"/>
      <c r="AA192" s="135"/>
      <c r="AB192" s="135"/>
      <c r="AC192" s="763"/>
      <c r="AD192" s="763"/>
      <c r="AE192" s="340"/>
      <c r="AF192" s="135"/>
      <c r="AG192" s="135"/>
      <c r="AH192" s="135"/>
      <c r="AI192" s="135"/>
      <c r="AJ192" s="135"/>
      <c r="AK192" s="135"/>
      <c r="AL192" s="135"/>
      <c r="AM192" s="135"/>
      <c r="AN192" s="135"/>
      <c r="AO192" s="135"/>
      <c r="AP192" s="763"/>
      <c r="AQ192" s="763"/>
      <c r="AS192" s="337"/>
      <c r="AU192" s="336"/>
    </row>
    <row r="193" spans="1:47" x14ac:dyDescent="0.3">
      <c r="B193" s="125"/>
      <c r="C193" s="109" t="str">
        <f>"Subtotal "&amp;C186</f>
        <v>Subtotal Fee for Service/Contractual</v>
      </c>
      <c r="D193" s="115"/>
      <c r="E193" s="115"/>
      <c r="P193" s="762">
        <f>ROUND(SUM(P187:Q192),0)</f>
        <v>0</v>
      </c>
      <c r="Q193" s="762"/>
      <c r="T193" s="337"/>
      <c r="AC193" s="762">
        <f>ROUND(SUM(AC187:AD192),0)</f>
        <v>0</v>
      </c>
      <c r="AD193" s="762"/>
      <c r="AE193" s="336"/>
      <c r="AP193" s="762">
        <f>ROUND(SUM(AP187:AQ192),0)</f>
        <v>0</v>
      </c>
      <c r="AQ193" s="762"/>
      <c r="AS193" s="337"/>
      <c r="AU193" s="336"/>
    </row>
    <row r="194" spans="1:47" ht="3" customHeight="1" x14ac:dyDescent="0.3">
      <c r="B194" s="125"/>
      <c r="C194" s="109"/>
      <c r="D194" s="115"/>
      <c r="E194" s="115"/>
      <c r="P194" s="278"/>
      <c r="Q194" s="278"/>
      <c r="T194" s="337"/>
      <c r="AC194" s="278"/>
      <c r="AD194" s="278"/>
      <c r="AE194" s="336"/>
      <c r="AS194" s="337"/>
      <c r="AU194" s="336"/>
    </row>
    <row r="195" spans="1:47" x14ac:dyDescent="0.3">
      <c r="A195" s="109"/>
      <c r="B195" s="131" t="s">
        <v>817</v>
      </c>
      <c r="C195" s="109" t="s">
        <v>822</v>
      </c>
      <c r="D195" s="115"/>
      <c r="E195" s="115"/>
      <c r="T195" s="337"/>
      <c r="AE195" s="336"/>
      <c r="AP195" s="180"/>
      <c r="AQ195" s="180"/>
      <c r="AS195" s="337"/>
      <c r="AU195" s="336"/>
    </row>
    <row r="196" spans="1:47" x14ac:dyDescent="0.3">
      <c r="B196" s="125"/>
      <c r="D196" s="106">
        <f>'YEAR 1'!D196</f>
        <v>0</v>
      </c>
      <c r="E196" s="115"/>
      <c r="P196" s="739"/>
      <c r="Q196" s="739"/>
      <c r="T196" s="337"/>
      <c r="AC196" s="739"/>
      <c r="AD196" s="739"/>
      <c r="AE196" s="336"/>
      <c r="AP196" s="765">
        <f>ROUND(SUM(P196:AE196),0)</f>
        <v>0</v>
      </c>
      <c r="AQ196" s="765"/>
      <c r="AS196" s="506">
        <f>P196</f>
        <v>0</v>
      </c>
      <c r="AU196" s="515">
        <f>AC196</f>
        <v>0</v>
      </c>
    </row>
    <row r="197" spans="1:47" x14ac:dyDescent="0.3">
      <c r="B197" s="125"/>
      <c r="D197" s="106">
        <f>'YEAR 1'!D197</f>
        <v>0</v>
      </c>
      <c r="E197" s="115"/>
      <c r="P197" s="739"/>
      <c r="Q197" s="739"/>
      <c r="T197" s="337"/>
      <c r="AC197" s="739"/>
      <c r="AD197" s="739"/>
      <c r="AE197" s="336"/>
      <c r="AP197" s="765">
        <f>ROUND(SUM(P197:AE197),0)</f>
        <v>0</v>
      </c>
      <c r="AQ197" s="765"/>
      <c r="AS197" s="506">
        <f>P197</f>
        <v>0</v>
      </c>
      <c r="AU197" s="515">
        <f>AC197</f>
        <v>0</v>
      </c>
    </row>
    <row r="198" spans="1:47" ht="15" customHeight="1" x14ac:dyDescent="0.3">
      <c r="B198" s="125"/>
      <c r="D198" s="106">
        <f>'YEAR 1'!D198</f>
        <v>0</v>
      </c>
      <c r="E198" s="115"/>
      <c r="P198" s="739"/>
      <c r="Q198" s="739"/>
      <c r="T198" s="337"/>
      <c r="AC198" s="739"/>
      <c r="AD198" s="739"/>
      <c r="AE198" s="336"/>
      <c r="AP198" s="765">
        <f>ROUND(SUM(P198:AE198),0)</f>
        <v>0</v>
      </c>
      <c r="AQ198" s="765"/>
      <c r="AS198" s="506">
        <f>P198</f>
        <v>0</v>
      </c>
      <c r="AU198" s="515">
        <f>AC198</f>
        <v>0</v>
      </c>
    </row>
    <row r="199" spans="1:47" x14ac:dyDescent="0.3">
      <c r="B199" s="125"/>
      <c r="D199" s="106">
        <f>'YEAR 1'!D199</f>
        <v>0</v>
      </c>
      <c r="E199" s="115"/>
      <c r="P199" s="739"/>
      <c r="Q199" s="739"/>
      <c r="T199" s="337"/>
      <c r="AC199" s="739"/>
      <c r="AD199" s="739"/>
      <c r="AE199" s="336"/>
      <c r="AP199" s="765">
        <f>ROUND(SUM(P199:AE199),0)</f>
        <v>0</v>
      </c>
      <c r="AQ199" s="765"/>
      <c r="AS199" s="506">
        <f>P199</f>
        <v>0</v>
      </c>
      <c r="AU199" s="515">
        <f>AC199</f>
        <v>0</v>
      </c>
    </row>
    <row r="200" spans="1:47" x14ac:dyDescent="0.3">
      <c r="B200" s="125"/>
      <c r="D200" s="106">
        <f>'YEAR 1'!D200</f>
        <v>0</v>
      </c>
      <c r="E200" s="115"/>
      <c r="P200" s="739"/>
      <c r="Q200" s="739"/>
      <c r="T200" s="337"/>
      <c r="AC200" s="739"/>
      <c r="AD200" s="739"/>
      <c r="AE200" s="336"/>
      <c r="AP200" s="765">
        <f>ROUND(SUM(P200:AE200),0)</f>
        <v>0</v>
      </c>
      <c r="AQ200" s="765"/>
      <c r="AS200" s="506">
        <f>P200</f>
        <v>0</v>
      </c>
      <c r="AU200" s="515">
        <f>AC200</f>
        <v>0</v>
      </c>
    </row>
    <row r="201" spans="1:47" ht="3" customHeight="1" x14ac:dyDescent="0.3">
      <c r="B201" s="125"/>
      <c r="D201" s="132"/>
      <c r="E201" s="132"/>
      <c r="F201" s="141"/>
      <c r="G201" s="296"/>
      <c r="H201" s="135"/>
      <c r="I201" s="135"/>
      <c r="J201" s="135"/>
      <c r="K201" s="135"/>
      <c r="L201" s="135"/>
      <c r="M201" s="135"/>
      <c r="N201" s="135"/>
      <c r="O201" s="135"/>
      <c r="P201" s="763"/>
      <c r="Q201" s="763"/>
      <c r="R201" s="135"/>
      <c r="S201" s="135"/>
      <c r="T201" s="339"/>
      <c r="U201" s="135"/>
      <c r="V201" s="135"/>
      <c r="W201" s="135"/>
      <c r="X201" s="135"/>
      <c r="Y201" s="135"/>
      <c r="Z201" s="135"/>
      <c r="AA201" s="135"/>
      <c r="AB201" s="135"/>
      <c r="AC201" s="763"/>
      <c r="AD201" s="763"/>
      <c r="AE201" s="340"/>
      <c r="AF201" s="135"/>
      <c r="AG201" s="135"/>
      <c r="AH201" s="135"/>
      <c r="AI201" s="135"/>
      <c r="AJ201" s="135"/>
      <c r="AK201" s="135"/>
      <c r="AL201" s="135"/>
      <c r="AM201" s="135"/>
      <c r="AN201" s="135"/>
      <c r="AO201" s="135"/>
      <c r="AP201" s="763"/>
      <c r="AQ201" s="763"/>
      <c r="AS201" s="337"/>
      <c r="AU201" s="336"/>
    </row>
    <row r="202" spans="1:47" x14ac:dyDescent="0.3">
      <c r="B202" s="125"/>
      <c r="C202" s="109" t="str">
        <f>"Subtotal "&amp;C195</f>
        <v>Subtotal Subawards</v>
      </c>
      <c r="D202" s="115"/>
      <c r="E202" s="115"/>
      <c r="P202" s="774">
        <f>ROUND(SUM(P196:Q201),0)</f>
        <v>0</v>
      </c>
      <c r="Q202" s="774"/>
      <c r="T202" s="337"/>
      <c r="AC202" s="774">
        <f>ROUND(SUM(AC196:AD201),0)</f>
        <v>0</v>
      </c>
      <c r="AD202" s="774"/>
      <c r="AE202" s="336"/>
      <c r="AP202" s="774">
        <f>ROUND(SUM(AP196:AQ201),0)</f>
        <v>0</v>
      </c>
      <c r="AQ202" s="774"/>
      <c r="AS202" s="337"/>
      <c r="AU202" s="336"/>
    </row>
    <row r="203" spans="1:47" ht="1.5" customHeight="1" x14ac:dyDescent="0.3">
      <c r="B203" s="125"/>
      <c r="C203" s="109"/>
      <c r="D203" s="115"/>
      <c r="E203" s="115"/>
      <c r="P203" s="278"/>
      <c r="Q203" s="278"/>
      <c r="T203" s="337"/>
      <c r="AC203" s="278"/>
      <c r="AD203" s="278"/>
      <c r="AE203" s="336"/>
      <c r="AS203" s="337"/>
      <c r="AU203" s="336"/>
    </row>
    <row r="204" spans="1:47" x14ac:dyDescent="0.3">
      <c r="A204" s="109"/>
      <c r="B204" s="131" t="s">
        <v>823</v>
      </c>
      <c r="C204" s="109" t="s">
        <v>824</v>
      </c>
      <c r="D204" s="115"/>
      <c r="E204" s="115"/>
      <c r="T204" s="337"/>
      <c r="AE204" s="336"/>
      <c r="AP204" s="180"/>
      <c r="AQ204" s="180"/>
      <c r="AS204" s="337"/>
      <c r="AU204" s="336"/>
    </row>
    <row r="205" spans="1:47" x14ac:dyDescent="0.3">
      <c r="B205" s="125"/>
      <c r="C205" s="278"/>
      <c r="D205" s="106">
        <f>'YEAR 1'!D205</f>
        <v>0</v>
      </c>
      <c r="E205" s="115"/>
      <c r="P205" s="739"/>
      <c r="Q205" s="739"/>
      <c r="T205" s="337"/>
      <c r="AC205" s="739"/>
      <c r="AD205" s="739"/>
      <c r="AE205" s="336"/>
      <c r="AP205" s="765">
        <f>ROUND(SUM(P205:AE205),0)</f>
        <v>0</v>
      </c>
      <c r="AQ205" s="765"/>
      <c r="AS205" s="506"/>
      <c r="AU205" s="336"/>
    </row>
    <row r="206" spans="1:47" x14ac:dyDescent="0.3">
      <c r="B206" s="125"/>
      <c r="C206" s="278"/>
      <c r="D206" s="106">
        <f>'YEAR 1'!D206</f>
        <v>0</v>
      </c>
      <c r="E206" s="115"/>
      <c r="P206" s="739"/>
      <c r="Q206" s="739"/>
      <c r="T206" s="337"/>
      <c r="AC206" s="739"/>
      <c r="AD206" s="739"/>
      <c r="AE206" s="336"/>
      <c r="AP206" s="765">
        <f>ROUND(SUM(P206:AE206),0)</f>
        <v>0</v>
      </c>
      <c r="AQ206" s="765"/>
      <c r="AS206" s="337"/>
      <c r="AU206" s="336"/>
    </row>
    <row r="207" spans="1:47" x14ac:dyDescent="0.3">
      <c r="B207" s="125"/>
      <c r="C207" s="279"/>
      <c r="D207" s="106">
        <f>'YEAR 1'!D207</f>
        <v>0</v>
      </c>
      <c r="E207" s="115"/>
      <c r="P207" s="739"/>
      <c r="Q207" s="739"/>
      <c r="T207" s="337"/>
      <c r="AC207" s="739"/>
      <c r="AD207" s="739"/>
      <c r="AE207" s="336"/>
      <c r="AP207" s="765">
        <f>ROUND(SUM(P207:AE207),0)</f>
        <v>0</v>
      </c>
      <c r="AQ207" s="765"/>
      <c r="AS207" s="337"/>
      <c r="AU207" s="336"/>
    </row>
    <row r="208" spans="1:47" x14ac:dyDescent="0.3">
      <c r="B208" s="125"/>
      <c r="C208" s="279"/>
      <c r="D208" s="106">
        <f>'YEAR 1'!D208</f>
        <v>0</v>
      </c>
      <c r="E208" s="115"/>
      <c r="P208" s="739"/>
      <c r="Q208" s="739"/>
      <c r="T208" s="337"/>
      <c r="AC208" s="739"/>
      <c r="AD208" s="739"/>
      <c r="AE208" s="336"/>
      <c r="AP208" s="765">
        <f>ROUND(SUM(P208:AE208),0)</f>
        <v>0</v>
      </c>
      <c r="AQ208" s="765"/>
      <c r="AS208" s="337"/>
      <c r="AU208" s="336"/>
    </row>
    <row r="209" spans="1:47" x14ac:dyDescent="0.3">
      <c r="B209" s="125"/>
      <c r="D209" s="106">
        <f>'YEAR 1'!D209</f>
        <v>0</v>
      </c>
      <c r="E209" s="115"/>
      <c r="P209" s="739"/>
      <c r="Q209" s="739"/>
      <c r="T209" s="337"/>
      <c r="AC209" s="739"/>
      <c r="AD209" s="739"/>
      <c r="AE209" s="336"/>
      <c r="AP209" s="765">
        <f>ROUND(SUM(P209:AE209),0)</f>
        <v>0</v>
      </c>
      <c r="AQ209" s="765"/>
      <c r="AS209" s="337"/>
      <c r="AU209" s="336"/>
    </row>
    <row r="210" spans="1:47" ht="3" customHeight="1" x14ac:dyDescent="0.3">
      <c r="B210" s="125"/>
      <c r="D210" s="132"/>
      <c r="E210" s="132"/>
      <c r="F210" s="141"/>
      <c r="G210" s="296"/>
      <c r="H210" s="135"/>
      <c r="I210" s="135"/>
      <c r="J210" s="135"/>
      <c r="K210" s="135"/>
      <c r="L210" s="135"/>
      <c r="M210" s="135"/>
      <c r="N210" s="135"/>
      <c r="O210" s="135"/>
      <c r="P210" s="763"/>
      <c r="Q210" s="763"/>
      <c r="R210" s="135"/>
      <c r="S210" s="135"/>
      <c r="T210" s="339"/>
      <c r="U210" s="135"/>
      <c r="V210" s="135"/>
      <c r="W210" s="135"/>
      <c r="X210" s="135"/>
      <c r="Y210" s="135"/>
      <c r="Z210" s="135"/>
      <c r="AA210" s="135"/>
      <c r="AB210" s="135"/>
      <c r="AC210" s="763"/>
      <c r="AD210" s="763"/>
      <c r="AE210" s="340"/>
      <c r="AF210" s="135"/>
      <c r="AG210" s="135"/>
      <c r="AH210" s="135"/>
      <c r="AI210" s="135"/>
      <c r="AJ210" s="135"/>
      <c r="AK210" s="135"/>
      <c r="AL210" s="135"/>
      <c r="AM210" s="135"/>
      <c r="AN210" s="135"/>
      <c r="AO210" s="135"/>
      <c r="AP210" s="763"/>
      <c r="AQ210" s="763"/>
      <c r="AS210" s="337"/>
      <c r="AU210" s="336"/>
    </row>
    <row r="211" spans="1:47" x14ac:dyDescent="0.3">
      <c r="B211" s="125"/>
      <c r="C211" s="109" t="str">
        <f>"Subtotal "&amp;C204</f>
        <v>Subtotal Equipment/Facility Rental Fees</v>
      </c>
      <c r="D211" s="115"/>
      <c r="E211" s="115"/>
      <c r="P211" s="774">
        <f>ROUND(SUM(P205:Q210),0)</f>
        <v>0</v>
      </c>
      <c r="Q211" s="774"/>
      <c r="T211" s="337"/>
      <c r="AC211" s="774">
        <f>ROUND(SUM(AC205:AD210),0)</f>
        <v>0</v>
      </c>
      <c r="AD211" s="774"/>
      <c r="AE211" s="336"/>
      <c r="AP211" s="774">
        <f>ROUND(SUM(AP205:AQ210),0)</f>
        <v>0</v>
      </c>
      <c r="AQ211" s="774"/>
      <c r="AS211" s="337"/>
      <c r="AU211" s="336"/>
    </row>
    <row r="212" spans="1:47" ht="3" customHeight="1" x14ac:dyDescent="0.3">
      <c r="B212" s="125"/>
      <c r="C212" s="109"/>
      <c r="D212" s="115"/>
      <c r="E212" s="115"/>
      <c r="P212" s="278"/>
      <c r="Q212" s="278"/>
      <c r="T212" s="337"/>
      <c r="AC212" s="278"/>
      <c r="AD212" s="278"/>
      <c r="AE212" s="336"/>
      <c r="AS212" s="337"/>
      <c r="AU212" s="336"/>
    </row>
    <row r="213" spans="1:47" x14ac:dyDescent="0.3">
      <c r="A213" s="109"/>
      <c r="B213" s="131" t="s">
        <v>825</v>
      </c>
      <c r="C213" s="109" t="s">
        <v>826</v>
      </c>
      <c r="D213" s="115"/>
      <c r="E213" s="115"/>
      <c r="T213" s="337"/>
      <c r="AE213" s="336"/>
      <c r="AP213" s="180"/>
      <c r="AQ213" s="180"/>
      <c r="AS213" s="337"/>
      <c r="AU213" s="336"/>
    </row>
    <row r="214" spans="1:47" x14ac:dyDescent="0.3">
      <c r="B214" s="125"/>
      <c r="D214" s="106">
        <f>'YEAR 1'!D214</f>
        <v>0</v>
      </c>
      <c r="E214" s="115"/>
      <c r="P214" s="739"/>
      <c r="Q214" s="739"/>
      <c r="T214" s="337"/>
      <c r="AC214" s="739"/>
      <c r="AD214" s="739"/>
      <c r="AE214" s="336"/>
      <c r="AP214" s="765">
        <f>ROUND(SUM(P214:AE214),0)</f>
        <v>0</v>
      </c>
      <c r="AQ214" s="765"/>
      <c r="AS214" s="337"/>
      <c r="AU214" s="336"/>
    </row>
    <row r="215" spans="1:47" x14ac:dyDescent="0.3">
      <c r="B215" s="125"/>
      <c r="D215" s="106">
        <f>'YEAR 1'!D215</f>
        <v>0</v>
      </c>
      <c r="E215" s="115"/>
      <c r="P215" s="739"/>
      <c r="Q215" s="739"/>
      <c r="T215" s="337"/>
      <c r="AC215" s="739"/>
      <c r="AD215" s="739"/>
      <c r="AE215" s="336"/>
      <c r="AP215" s="765">
        <f>ROUND(SUM(P215:AE215),0)</f>
        <v>0</v>
      </c>
      <c r="AQ215" s="765"/>
      <c r="AS215" s="337"/>
      <c r="AU215" s="336"/>
    </row>
    <row r="216" spans="1:47" x14ac:dyDescent="0.3">
      <c r="B216" s="125"/>
      <c r="D216" s="106">
        <f>'YEAR 1'!D216</f>
        <v>0</v>
      </c>
      <c r="E216" s="115"/>
      <c r="P216" s="739"/>
      <c r="Q216" s="739"/>
      <c r="T216" s="337"/>
      <c r="AC216" s="739"/>
      <c r="AD216" s="739"/>
      <c r="AE216" s="336"/>
      <c r="AP216" s="765">
        <f>ROUND(SUM(P216:AE216),0)</f>
        <v>0</v>
      </c>
      <c r="AQ216" s="765"/>
      <c r="AS216" s="337"/>
      <c r="AU216" s="336"/>
    </row>
    <row r="217" spans="1:47" x14ac:dyDescent="0.3">
      <c r="B217" s="125"/>
      <c r="D217" s="106">
        <f>'YEAR 1'!D217</f>
        <v>0</v>
      </c>
      <c r="E217" s="115"/>
      <c r="P217" s="739"/>
      <c r="Q217" s="739"/>
      <c r="T217" s="337"/>
      <c r="AC217" s="739"/>
      <c r="AD217" s="739"/>
      <c r="AE217" s="336"/>
      <c r="AP217" s="765">
        <f>ROUND(SUM(P217:AE217),0)</f>
        <v>0</v>
      </c>
      <c r="AQ217" s="765"/>
      <c r="AS217" s="337"/>
      <c r="AU217" s="336"/>
    </row>
    <row r="218" spans="1:47" x14ac:dyDescent="0.3">
      <c r="B218" s="125"/>
      <c r="D218" s="106">
        <f>'YEAR 1'!D218</f>
        <v>0</v>
      </c>
      <c r="E218" s="115"/>
      <c r="P218" s="739"/>
      <c r="Q218" s="739"/>
      <c r="T218" s="337"/>
      <c r="AC218" s="739"/>
      <c r="AD218" s="739"/>
      <c r="AE218" s="336"/>
      <c r="AP218" s="765">
        <f>ROUND(SUM(P218:AE218),0)</f>
        <v>0</v>
      </c>
      <c r="AQ218" s="765"/>
      <c r="AS218" s="337"/>
      <c r="AU218" s="336"/>
    </row>
    <row r="219" spans="1:47" ht="3" customHeight="1" x14ac:dyDescent="0.3">
      <c r="B219" s="125"/>
      <c r="D219" s="132"/>
      <c r="E219" s="132"/>
      <c r="F219" s="141"/>
      <c r="G219" s="296"/>
      <c r="H219" s="135"/>
      <c r="I219" s="135"/>
      <c r="J219" s="135"/>
      <c r="K219" s="135"/>
      <c r="L219" s="135"/>
      <c r="M219" s="135"/>
      <c r="N219" s="135"/>
      <c r="O219" s="135"/>
      <c r="P219" s="763"/>
      <c r="Q219" s="763"/>
      <c r="R219" s="135"/>
      <c r="S219" s="135"/>
      <c r="T219" s="339"/>
      <c r="U219" s="135"/>
      <c r="V219" s="135"/>
      <c r="W219" s="135"/>
      <c r="X219" s="135"/>
      <c r="Y219" s="135"/>
      <c r="Z219" s="135"/>
      <c r="AA219" s="135"/>
      <c r="AB219" s="135"/>
      <c r="AC219" s="763"/>
      <c r="AD219" s="763"/>
      <c r="AE219" s="340"/>
      <c r="AF219" s="135"/>
      <c r="AG219" s="135"/>
      <c r="AH219" s="135"/>
      <c r="AI219" s="135"/>
      <c r="AJ219" s="135"/>
      <c r="AK219" s="135"/>
      <c r="AL219" s="135"/>
      <c r="AM219" s="135"/>
      <c r="AN219" s="135"/>
      <c r="AO219" s="135"/>
      <c r="AP219" s="763"/>
      <c r="AQ219" s="763"/>
      <c r="AS219" s="337"/>
      <c r="AU219" s="336"/>
    </row>
    <row r="220" spans="1:47" x14ac:dyDescent="0.3">
      <c r="B220" s="125"/>
      <c r="C220" s="109" t="str">
        <f>"Subtotal "&amp;C213</f>
        <v>Subtotal Alterations/Renovations</v>
      </c>
      <c r="D220" s="115"/>
      <c r="E220" s="115"/>
      <c r="P220" s="774">
        <f>ROUND(SUM(P214:Q219),0)</f>
        <v>0</v>
      </c>
      <c r="Q220" s="774"/>
      <c r="T220" s="337"/>
      <c r="AC220" s="774">
        <f>ROUND(SUM(AC214:AD219),0)</f>
        <v>0</v>
      </c>
      <c r="AD220" s="774"/>
      <c r="AE220" s="336"/>
      <c r="AP220" s="774">
        <f>ROUND(SUM(AP214:AQ219),0)</f>
        <v>0</v>
      </c>
      <c r="AQ220" s="774"/>
      <c r="AS220" s="337"/>
      <c r="AU220" s="336"/>
    </row>
    <row r="221" spans="1:47" ht="3" customHeight="1" x14ac:dyDescent="0.3">
      <c r="B221" s="125"/>
      <c r="C221" s="109"/>
      <c r="D221" s="115"/>
      <c r="E221" s="115"/>
      <c r="P221" s="278"/>
      <c r="Q221" s="278"/>
      <c r="T221" s="337"/>
      <c r="AC221" s="278"/>
      <c r="AD221" s="278"/>
      <c r="AE221" s="336"/>
      <c r="AS221" s="337"/>
      <c r="AU221" s="336"/>
    </row>
    <row r="222" spans="1:47" x14ac:dyDescent="0.3">
      <c r="A222" s="109"/>
      <c r="B222" s="131" t="s">
        <v>827</v>
      </c>
      <c r="C222" s="109" t="s">
        <v>679</v>
      </c>
      <c r="D222" s="115"/>
      <c r="E222" s="115"/>
      <c r="T222" s="337"/>
      <c r="AE222" s="336"/>
      <c r="AP222" s="180"/>
      <c r="AQ222" s="180"/>
      <c r="AS222" s="337"/>
      <c r="AU222" s="336"/>
    </row>
    <row r="223" spans="1:47" x14ac:dyDescent="0.3">
      <c r="C223" s="279" t="s">
        <v>828</v>
      </c>
      <c r="D223" s="109" t="s">
        <v>829</v>
      </c>
      <c r="E223" s="115"/>
      <c r="P223" s="739"/>
      <c r="Q223" s="739"/>
      <c r="T223" s="337"/>
      <c r="AC223" s="739"/>
      <c r="AD223" s="739"/>
      <c r="AE223" s="336"/>
      <c r="AP223" s="765"/>
      <c r="AQ223" s="765"/>
      <c r="AS223" s="337"/>
      <c r="AU223" s="336"/>
    </row>
    <row r="224" spans="1:47" x14ac:dyDescent="0.3">
      <c r="B224" s="125"/>
      <c r="C224" s="430"/>
      <c r="D224" s="116" t="s">
        <v>830</v>
      </c>
      <c r="E224" s="115"/>
      <c r="P224" s="739"/>
      <c r="Q224" s="739"/>
      <c r="T224" s="337"/>
      <c r="AC224" s="739"/>
      <c r="AD224" s="739"/>
      <c r="AE224" s="336"/>
      <c r="AP224" s="765"/>
      <c r="AQ224" s="765"/>
      <c r="AS224" s="514"/>
      <c r="AU224" s="515"/>
    </row>
    <row r="225" spans="1:47" x14ac:dyDescent="0.3">
      <c r="B225" s="125"/>
      <c r="D225" s="116" t="str">
        <f>Data!AG297</f>
        <v>Fall 2022 ~ ACAD YR 2023</v>
      </c>
      <c r="E225" s="115"/>
      <c r="F225" s="107">
        <f>Data!AA297</f>
        <v>4413</v>
      </c>
      <c r="P225" s="739">
        <f>ROUND(($C$224*$F225),0)</f>
        <v>0</v>
      </c>
      <c r="Q225" s="739"/>
      <c r="T225" s="337"/>
      <c r="AC225" s="739"/>
      <c r="AD225" s="739"/>
      <c r="AE225" s="336"/>
      <c r="AP225" s="765">
        <f>ROUND(SUM(AC225+P225),0)</f>
        <v>0</v>
      </c>
      <c r="AQ225" s="765"/>
      <c r="AS225" s="514">
        <f>P225</f>
        <v>0</v>
      </c>
      <c r="AU225" s="515">
        <f>AC225</f>
        <v>0</v>
      </c>
    </row>
    <row r="226" spans="1:47" x14ac:dyDescent="0.3">
      <c r="B226" s="125"/>
      <c r="C226" s="156"/>
      <c r="D226" s="116" t="str">
        <f>Data!AG298</f>
        <v>Spring 2023 ~ ACAD YR 2023</v>
      </c>
      <c r="E226" s="115"/>
      <c r="F226" s="107">
        <f>Data!AA298</f>
        <v>4413</v>
      </c>
      <c r="P226" s="739">
        <f>ROUND(($C$224*$F226),0)</f>
        <v>0</v>
      </c>
      <c r="Q226" s="739"/>
      <c r="T226" s="337"/>
      <c r="AC226" s="739"/>
      <c r="AD226" s="739"/>
      <c r="AE226" s="336"/>
      <c r="AP226" s="765">
        <f>ROUND(SUM(AC226+P226),0)</f>
        <v>0</v>
      </c>
      <c r="AQ226" s="765"/>
      <c r="AS226" s="514">
        <f>P226</f>
        <v>0</v>
      </c>
      <c r="AU226" s="515">
        <f>AC226</f>
        <v>0</v>
      </c>
    </row>
    <row r="227" spans="1:47" x14ac:dyDescent="0.3">
      <c r="B227" s="125"/>
      <c r="C227" s="156"/>
      <c r="D227" s="116" t="str">
        <f>Data!AG299</f>
        <v>Summer 2023 ~ ACAD YR 2024</v>
      </c>
      <c r="E227" s="115"/>
      <c r="F227" s="107">
        <f>Data!AA299</f>
        <v>1010</v>
      </c>
      <c r="P227" s="739">
        <f>ROUND(($C$224*$F227),0)</f>
        <v>0</v>
      </c>
      <c r="Q227" s="739"/>
      <c r="T227" s="337"/>
      <c r="AC227" s="739"/>
      <c r="AD227" s="739"/>
      <c r="AE227" s="336"/>
      <c r="AP227" s="765">
        <f>ROUND(SUM(AC227+P227),0)</f>
        <v>0</v>
      </c>
      <c r="AQ227" s="765"/>
      <c r="AS227" s="514">
        <f>P227</f>
        <v>0</v>
      </c>
      <c r="AU227" s="515">
        <f>AC227</f>
        <v>0</v>
      </c>
    </row>
    <row r="228" spans="1:47" ht="3" customHeight="1" x14ac:dyDescent="0.3">
      <c r="B228" s="125"/>
      <c r="C228" s="113"/>
      <c r="D228" s="116"/>
      <c r="E228" s="115"/>
      <c r="P228" s="739"/>
      <c r="Q228" s="739"/>
      <c r="T228" s="337"/>
      <c r="AC228" s="739"/>
      <c r="AD228" s="739"/>
      <c r="AE228" s="336"/>
      <c r="AP228" s="765"/>
      <c r="AQ228" s="765"/>
      <c r="AS228" s="514"/>
      <c r="AU228" s="515"/>
    </row>
    <row r="229" spans="1:47" x14ac:dyDescent="0.3">
      <c r="C229" s="279" t="s">
        <v>831</v>
      </c>
      <c r="D229" s="109" t="s">
        <v>832</v>
      </c>
      <c r="E229" s="115"/>
      <c r="P229" s="739">
        <f t="shared" ref="P229" si="4">ROUND(($C$224*$F229),0)</f>
        <v>0</v>
      </c>
      <c r="Q229" s="739"/>
      <c r="T229" s="337"/>
      <c r="AC229" s="739"/>
      <c r="AD229" s="739"/>
      <c r="AE229" s="336"/>
      <c r="AP229" s="765">
        <f>ROUND(SUM(P229:AE229),0)</f>
        <v>0</v>
      </c>
      <c r="AQ229" s="765"/>
      <c r="AS229" s="514"/>
      <c r="AU229" s="515">
        <f t="shared" ref="AU229" si="5">AC229</f>
        <v>0</v>
      </c>
    </row>
    <row r="230" spans="1:47" ht="3" customHeight="1" x14ac:dyDescent="0.3">
      <c r="B230" s="125"/>
      <c r="D230" s="132"/>
      <c r="E230" s="132"/>
      <c r="F230" s="141"/>
      <c r="G230" s="296"/>
      <c r="H230" s="135"/>
      <c r="I230" s="135"/>
      <c r="J230" s="135"/>
      <c r="K230" s="135"/>
      <c r="L230" s="135"/>
      <c r="M230" s="135"/>
      <c r="N230" s="135"/>
      <c r="O230" s="135"/>
      <c r="P230" s="763"/>
      <c r="Q230" s="763"/>
      <c r="R230" s="135"/>
      <c r="S230" s="135"/>
      <c r="T230" s="339"/>
      <c r="U230" s="135"/>
      <c r="V230" s="135"/>
      <c r="W230" s="135"/>
      <c r="X230" s="135"/>
      <c r="Y230" s="135"/>
      <c r="Z230" s="135"/>
      <c r="AA230" s="135"/>
      <c r="AB230" s="135"/>
      <c r="AC230" s="763"/>
      <c r="AD230" s="763"/>
      <c r="AE230" s="340"/>
      <c r="AF230" s="135"/>
      <c r="AG230" s="135"/>
      <c r="AH230" s="135"/>
      <c r="AI230" s="135"/>
      <c r="AJ230" s="135"/>
      <c r="AK230" s="135"/>
      <c r="AL230" s="135"/>
      <c r="AM230" s="135"/>
      <c r="AN230" s="135"/>
      <c r="AO230" s="135"/>
      <c r="AP230" s="763"/>
      <c r="AQ230" s="763"/>
      <c r="AS230" s="337"/>
      <c r="AU230" s="336"/>
    </row>
    <row r="231" spans="1:47" x14ac:dyDescent="0.3">
      <c r="B231" s="125"/>
      <c r="C231" s="109" t="str">
        <f>"Subtotal "&amp;C222</f>
        <v>Subtotal Other</v>
      </c>
      <c r="D231" s="115"/>
      <c r="E231" s="115"/>
      <c r="P231" s="774">
        <f>ROUND(SUM(P223:Q230),0)</f>
        <v>0</v>
      </c>
      <c r="Q231" s="774"/>
      <c r="T231" s="337"/>
      <c r="AC231" s="774">
        <f>ROUND(SUM(AC223:AD230),0)</f>
        <v>0</v>
      </c>
      <c r="AD231" s="774"/>
      <c r="AE231" s="336"/>
      <c r="AP231" s="774">
        <f>ROUND(SUM(AP223:AQ230),0)</f>
        <v>0</v>
      </c>
      <c r="AQ231" s="774"/>
      <c r="AS231" s="337"/>
      <c r="AU231" s="336"/>
    </row>
    <row r="232" spans="1:47" ht="3" customHeight="1" x14ac:dyDescent="0.3">
      <c r="B232" s="135"/>
      <c r="C232" s="136"/>
      <c r="D232" s="132"/>
      <c r="E232" s="132"/>
      <c r="F232" s="141"/>
      <c r="G232" s="296"/>
      <c r="H232" s="135"/>
      <c r="I232" s="135"/>
      <c r="J232" s="135"/>
      <c r="K232" s="135"/>
      <c r="L232" s="135"/>
      <c r="M232" s="135"/>
      <c r="N232" s="135"/>
      <c r="O232" s="135"/>
      <c r="P232" s="300"/>
      <c r="Q232" s="300"/>
      <c r="R232" s="135"/>
      <c r="S232" s="135"/>
      <c r="T232" s="339"/>
      <c r="U232" s="135"/>
      <c r="V232" s="135"/>
      <c r="W232" s="135"/>
      <c r="X232" s="135"/>
      <c r="Y232" s="135"/>
      <c r="Z232" s="135"/>
      <c r="AA232" s="135"/>
      <c r="AB232" s="135"/>
      <c r="AC232" s="300"/>
      <c r="AD232" s="300"/>
      <c r="AE232" s="340"/>
      <c r="AF232" s="135"/>
      <c r="AG232" s="135"/>
      <c r="AH232" s="135"/>
      <c r="AI232" s="135"/>
      <c r="AJ232" s="135"/>
      <c r="AK232" s="135"/>
      <c r="AL232" s="135"/>
      <c r="AM232" s="135"/>
      <c r="AN232" s="135"/>
      <c r="AO232" s="135"/>
      <c r="AP232" s="300"/>
      <c r="AQ232" s="300"/>
      <c r="AS232" s="337"/>
      <c r="AU232" s="336"/>
    </row>
    <row r="233" spans="1:47" x14ac:dyDescent="0.3">
      <c r="B233" s="160" t="str">
        <f>"TOTAL "&amp;B153</f>
        <v>TOTAL OTHER DIRECT COSTS</v>
      </c>
      <c r="C233" s="158"/>
      <c r="D233" s="170"/>
      <c r="E233" s="170"/>
      <c r="F233" s="312"/>
      <c r="G233" s="298"/>
      <c r="H233" s="289"/>
      <c r="I233" s="289"/>
      <c r="J233" s="289"/>
      <c r="K233" s="289"/>
      <c r="L233" s="289"/>
      <c r="M233" s="289"/>
      <c r="N233" s="289"/>
      <c r="O233" s="289"/>
      <c r="P233" s="726">
        <f>ROUND(P166+P175+P184+P193+P202+P211+P220+P231,0)</f>
        <v>0</v>
      </c>
      <c r="Q233" s="726"/>
      <c r="R233" s="289"/>
      <c r="S233" s="289"/>
      <c r="T233" s="341"/>
      <c r="U233" s="289"/>
      <c r="V233" s="289"/>
      <c r="W233" s="289"/>
      <c r="X233" s="289"/>
      <c r="Y233" s="289"/>
      <c r="Z233" s="289"/>
      <c r="AA233" s="289"/>
      <c r="AB233" s="289"/>
      <c r="AC233" s="726">
        <f>ROUND(AC166+AC175+AC184+AC193+AC202+AC211+AC220+AC231,0)</f>
        <v>0</v>
      </c>
      <c r="AD233" s="726"/>
      <c r="AE233" s="342"/>
      <c r="AF233" s="289"/>
      <c r="AG233" s="289"/>
      <c r="AH233" s="289"/>
      <c r="AI233" s="289"/>
      <c r="AJ233" s="289"/>
      <c r="AK233" s="289"/>
      <c r="AL233" s="289"/>
      <c r="AM233" s="289"/>
      <c r="AN233" s="289"/>
      <c r="AO233" s="289"/>
      <c r="AP233" s="776">
        <f>ROUND(SUM(P233:AE233),0)</f>
        <v>0</v>
      </c>
      <c r="AQ233" s="776"/>
      <c r="AS233" s="337">
        <f>SUM(AS11:AS232)</f>
        <v>0</v>
      </c>
      <c r="AU233" s="336">
        <f>SUM(AU11:AU232)</f>
        <v>0</v>
      </c>
    </row>
    <row r="234" spans="1:47" ht="3" customHeight="1" x14ac:dyDescent="0.3">
      <c r="B234" s="125"/>
      <c r="C234" s="109"/>
      <c r="D234" s="115"/>
      <c r="E234" s="115"/>
      <c r="P234" s="278"/>
      <c r="Q234" s="278"/>
      <c r="T234" s="337"/>
      <c r="AC234" s="278"/>
      <c r="AD234" s="278"/>
      <c r="AE234" s="336"/>
      <c r="AS234" s="337"/>
      <c r="AU234" s="336"/>
    </row>
    <row r="235" spans="1:47" x14ac:dyDescent="0.3">
      <c r="A235" s="109" t="s">
        <v>676</v>
      </c>
      <c r="B235" s="160" t="s">
        <v>833</v>
      </c>
      <c r="C235" s="158"/>
      <c r="D235" s="170"/>
      <c r="E235" s="170"/>
      <c r="F235" s="312"/>
      <c r="G235" s="298"/>
      <c r="H235" s="289"/>
      <c r="I235" s="289"/>
      <c r="J235" s="289"/>
      <c r="K235" s="289"/>
      <c r="L235" s="289"/>
      <c r="M235" s="289"/>
      <c r="N235" s="289"/>
      <c r="O235" s="289"/>
      <c r="P235" s="726">
        <f>ROUND(P43+P67+P76+P103+P151+P233,0)</f>
        <v>0</v>
      </c>
      <c r="Q235" s="726"/>
      <c r="R235" s="289"/>
      <c r="S235" s="289"/>
      <c r="T235" s="341"/>
      <c r="U235" s="289"/>
      <c r="V235" s="289"/>
      <c r="W235" s="289"/>
      <c r="X235" s="289"/>
      <c r="Y235" s="289"/>
      <c r="Z235" s="289"/>
      <c r="AA235" s="289"/>
      <c r="AB235" s="289"/>
      <c r="AC235" s="726">
        <f>ROUND(AC43+AC67+AC76+AC103+AC151+AC233,0)</f>
        <v>0</v>
      </c>
      <c r="AD235" s="726"/>
      <c r="AE235" s="342"/>
      <c r="AF235" s="289"/>
      <c r="AG235" s="289"/>
      <c r="AH235" s="289"/>
      <c r="AI235" s="289"/>
      <c r="AJ235" s="289"/>
      <c r="AK235" s="289"/>
      <c r="AL235" s="289"/>
      <c r="AM235" s="289"/>
      <c r="AN235" s="289"/>
      <c r="AO235" s="289"/>
      <c r="AP235" s="726">
        <f>ROUND(AP43+AP67+AP76+AP103+AP151+AP233,0)</f>
        <v>0</v>
      </c>
      <c r="AQ235" s="726"/>
      <c r="AS235" s="514"/>
      <c r="AU235" s="515"/>
    </row>
    <row r="236" spans="1:47" ht="3" customHeight="1" x14ac:dyDescent="0.3">
      <c r="B236" s="125"/>
      <c r="C236" s="109"/>
      <c r="D236" s="115"/>
      <c r="E236" s="115"/>
      <c r="P236" s="278"/>
      <c r="Q236" s="278"/>
      <c r="T236" s="337"/>
      <c r="AC236" s="278"/>
      <c r="AD236" s="278"/>
      <c r="AE236" s="336"/>
      <c r="AS236" s="337"/>
      <c r="AU236" s="336"/>
    </row>
    <row r="237" spans="1:47" x14ac:dyDescent="0.3">
      <c r="A237" s="109" t="s">
        <v>678</v>
      </c>
      <c r="B237" s="109" t="s">
        <v>779</v>
      </c>
      <c r="T237" s="337"/>
      <c r="AE237" s="336"/>
      <c r="AS237" s="339"/>
      <c r="AT237" s="135"/>
      <c r="AU237" s="340"/>
    </row>
    <row r="238" spans="1:47" ht="3" customHeight="1" x14ac:dyDescent="0.3">
      <c r="T238" s="337"/>
      <c r="AE238" s="336"/>
    </row>
    <row r="239" spans="1:47" x14ac:dyDescent="0.3">
      <c r="B239" s="106" t="s">
        <v>834</v>
      </c>
      <c r="C239" s="138"/>
      <c r="T239" s="337"/>
      <c r="AE239" s="336"/>
    </row>
    <row r="240" spans="1:47" x14ac:dyDescent="0.3">
      <c r="B240" s="138"/>
      <c r="C240" s="138" t="s">
        <v>685</v>
      </c>
      <c r="P240" s="731">
        <f>P235</f>
        <v>0</v>
      </c>
      <c r="Q240" s="731"/>
      <c r="T240" s="337"/>
      <c r="AC240" s="731">
        <f>AC235</f>
        <v>0</v>
      </c>
      <c r="AD240" s="731"/>
      <c r="AE240" s="336"/>
      <c r="AP240" s="728">
        <f>ROUND(SUM(P240:AC240),0)</f>
        <v>0</v>
      </c>
      <c r="AQ240" s="728"/>
    </row>
    <row r="241" spans="1:43" ht="14.4" x14ac:dyDescent="0.3">
      <c r="B241" s="138"/>
      <c r="C241" s="138" t="s">
        <v>686</v>
      </c>
      <c r="D241" s="139"/>
      <c r="E241" s="139"/>
      <c r="F241" s="314"/>
      <c r="G241" s="299"/>
      <c r="P241" s="731">
        <f>-AS233</f>
        <v>0</v>
      </c>
      <c r="Q241" s="731"/>
      <c r="T241" s="337"/>
      <c r="AC241" s="731">
        <f>-AU233</f>
        <v>0</v>
      </c>
      <c r="AD241" s="731"/>
      <c r="AE241" s="336"/>
      <c r="AP241" s="728">
        <f>ROUND(SUM(P241:AC241),0)</f>
        <v>0</v>
      </c>
      <c r="AQ241" s="728"/>
    </row>
    <row r="242" spans="1:43" ht="3" customHeight="1" x14ac:dyDescent="0.3">
      <c r="B242" s="138"/>
      <c r="C242" s="138"/>
      <c r="D242" s="139"/>
      <c r="E242" s="139"/>
      <c r="F242" s="314"/>
      <c r="G242" s="299"/>
      <c r="P242" s="296"/>
      <c r="Q242" s="296"/>
      <c r="T242" s="337"/>
      <c r="AC242" s="296"/>
      <c r="AD242" s="296"/>
      <c r="AE242" s="336"/>
      <c r="AP242" s="300"/>
      <c r="AQ242" s="300"/>
    </row>
    <row r="243" spans="1:43" ht="14.4" x14ac:dyDescent="0.3">
      <c r="B243" s="138" t="s">
        <v>687</v>
      </c>
      <c r="C243" s="138"/>
      <c r="D243" s="139"/>
      <c r="E243" s="139"/>
      <c r="F243" s="314"/>
      <c r="G243" s="299"/>
      <c r="P243" s="764">
        <f>P241+P240</f>
        <v>0</v>
      </c>
      <c r="Q243" s="764"/>
      <c r="T243" s="337"/>
      <c r="AC243" s="764">
        <f>AC241+AC240</f>
        <v>0</v>
      </c>
      <c r="AD243" s="764"/>
      <c r="AE243" s="336"/>
      <c r="AP243" s="762">
        <f>ROUND(SUM(P243:AC243),0)</f>
        <v>0</v>
      </c>
      <c r="AQ243" s="762"/>
    </row>
    <row r="244" spans="1:43" ht="3" customHeight="1" x14ac:dyDescent="0.3">
      <c r="B244" s="138"/>
      <c r="C244" s="138"/>
      <c r="D244" s="139"/>
      <c r="E244" s="139"/>
      <c r="F244" s="314"/>
      <c r="G244" s="299"/>
      <c r="T244" s="337"/>
      <c r="AE244" s="336"/>
    </row>
    <row r="245" spans="1:43" ht="14.4" x14ac:dyDescent="0.3">
      <c r="B245" s="142"/>
      <c r="C245" s="138" t="str">
        <f>CONCATENATE("SDSM&amp;T  Indirect  @ ",TEXT(INDIRECT,"0.0%"))</f>
        <v>SDSM&amp;T  Indirect  @ 42.0%</v>
      </c>
      <c r="D245" s="139"/>
      <c r="E245" s="139"/>
      <c r="F245" s="314"/>
      <c r="G245" s="299"/>
      <c r="P245" s="739">
        <f>ROUND(P243*INDIRECT,0)</f>
        <v>0</v>
      </c>
      <c r="Q245" s="739"/>
      <c r="T245" s="337"/>
      <c r="AC245" s="739">
        <f>ROUND(AC243*INDIRECT,0)</f>
        <v>0</v>
      </c>
      <c r="AD245" s="739"/>
      <c r="AE245" s="336"/>
      <c r="AP245" s="765">
        <f>ROUND(SUM(P245:AE245),0)</f>
        <v>0</v>
      </c>
      <c r="AQ245" s="765"/>
    </row>
    <row r="246" spans="1:43" ht="3" customHeight="1" x14ac:dyDescent="0.3">
      <c r="B246" s="138"/>
      <c r="C246" s="138"/>
      <c r="D246" s="139"/>
      <c r="E246" s="139"/>
      <c r="F246" s="314"/>
      <c r="G246" s="299"/>
      <c r="T246" s="337"/>
      <c r="AE246" s="336"/>
    </row>
    <row r="247" spans="1:43" x14ac:dyDescent="0.3">
      <c r="B247" s="142"/>
      <c r="D247" s="138" t="str">
        <f>"SDSM&amp;T Unrecovered Indirect @ "&amp;TEXT(-COSTSHARERATE,"0.0%")</f>
        <v>SDSM&amp;T Unrecovered Indirect @ 0.0%</v>
      </c>
      <c r="E247" s="138"/>
      <c r="F247" s="143"/>
      <c r="G247" s="301"/>
      <c r="P247" s="739">
        <f>-(P245-P249)</f>
        <v>0</v>
      </c>
      <c r="Q247" s="739"/>
      <c r="T247" s="337"/>
      <c r="AC247" s="739">
        <f>-P247</f>
        <v>0</v>
      </c>
      <c r="AD247" s="739"/>
      <c r="AE247" s="336"/>
      <c r="AP247" s="765">
        <f>ROUND(SUM(P247:AE247),0)</f>
        <v>0</v>
      </c>
      <c r="AQ247" s="765"/>
    </row>
    <row r="248" spans="1:43" ht="3" customHeight="1" x14ac:dyDescent="0.3">
      <c r="B248" s="138"/>
      <c r="C248" s="138"/>
      <c r="D248" s="139"/>
      <c r="E248" s="139"/>
      <c r="F248" s="314"/>
      <c r="G248" s="299"/>
      <c r="T248" s="337"/>
      <c r="AE248" s="336"/>
    </row>
    <row r="249" spans="1:43" ht="14.4" x14ac:dyDescent="0.3">
      <c r="B249" s="142"/>
      <c r="C249" s="138" t="str">
        <f>"SDSM&amp;T Indirect Recovered @ "&amp;TEXT(RECOVERED,"0.0%")</f>
        <v>SDSM&amp;T Indirect Recovered @ 42.0%</v>
      </c>
      <c r="D249" s="139"/>
      <c r="E249" s="139"/>
      <c r="F249" s="314"/>
      <c r="G249" s="299"/>
      <c r="P249" s="739">
        <f>ROUND(P243*RECOVERED,0)</f>
        <v>0</v>
      </c>
      <c r="Q249" s="739"/>
      <c r="T249" s="337"/>
      <c r="AC249" s="739"/>
      <c r="AD249" s="739"/>
      <c r="AE249" s="336"/>
      <c r="AP249" s="765">
        <f>ROUND(SUM(P249:AE249),0)</f>
        <v>0</v>
      </c>
      <c r="AQ249" s="765"/>
    </row>
    <row r="250" spans="1:43" ht="3" customHeight="1" x14ac:dyDescent="0.3">
      <c r="B250" s="134"/>
      <c r="C250" s="134"/>
      <c r="D250" s="144"/>
      <c r="E250" s="144"/>
      <c r="F250" s="315"/>
      <c r="G250" s="302"/>
      <c r="H250" s="135"/>
      <c r="I250" s="135"/>
      <c r="J250" s="135"/>
      <c r="K250" s="135"/>
      <c r="L250" s="135"/>
      <c r="M250" s="135"/>
      <c r="N250" s="135"/>
      <c r="O250" s="135"/>
      <c r="P250" s="296"/>
      <c r="Q250" s="296"/>
      <c r="R250" s="135"/>
      <c r="S250" s="135"/>
      <c r="T250" s="339"/>
      <c r="U250" s="135"/>
      <c r="V250" s="135"/>
      <c r="W250" s="135"/>
      <c r="X250" s="135"/>
      <c r="Y250" s="135"/>
      <c r="Z250" s="135"/>
      <c r="AA250" s="135"/>
      <c r="AB250" s="135"/>
      <c r="AC250" s="296"/>
      <c r="AD250" s="296"/>
      <c r="AE250" s="340"/>
      <c r="AF250" s="135"/>
      <c r="AG250" s="135"/>
      <c r="AH250" s="135"/>
      <c r="AI250" s="135"/>
      <c r="AJ250" s="135"/>
      <c r="AK250" s="135"/>
      <c r="AL250" s="135"/>
      <c r="AM250" s="135"/>
      <c r="AN250" s="135"/>
      <c r="AO250" s="135"/>
      <c r="AP250" s="300"/>
      <c r="AQ250" s="300"/>
    </row>
    <row r="251" spans="1:43" ht="14.4" x14ac:dyDescent="0.3">
      <c r="B251" s="158" t="str">
        <f>CONCATENATE("TOTAL ALL ",B237)</f>
        <v>TOTAL ALL INDIRECT COSTS</v>
      </c>
      <c r="C251" s="159"/>
      <c r="D251" s="172"/>
      <c r="E251" s="172"/>
      <c r="F251" s="316"/>
      <c r="G251" s="303"/>
      <c r="H251" s="289"/>
      <c r="I251" s="289"/>
      <c r="J251" s="289"/>
      <c r="K251" s="289"/>
      <c r="L251" s="289"/>
      <c r="M251" s="289"/>
      <c r="N251" s="289"/>
      <c r="O251" s="289"/>
      <c r="P251" s="726">
        <f>P249</f>
        <v>0</v>
      </c>
      <c r="Q251" s="726"/>
      <c r="R251" s="289"/>
      <c r="S251" s="289"/>
      <c r="T251" s="341"/>
      <c r="U251" s="289"/>
      <c r="V251" s="289"/>
      <c r="W251" s="289"/>
      <c r="X251" s="289"/>
      <c r="Y251" s="289"/>
      <c r="Z251" s="289"/>
      <c r="AA251" s="289"/>
      <c r="AB251" s="289"/>
      <c r="AC251" s="726">
        <f>SUM(AC245:AD250)</f>
        <v>0</v>
      </c>
      <c r="AD251" s="726"/>
      <c r="AE251" s="342"/>
      <c r="AF251" s="289"/>
      <c r="AG251" s="289"/>
      <c r="AH251" s="289"/>
      <c r="AI251" s="289"/>
      <c r="AJ251" s="289"/>
      <c r="AK251" s="289"/>
      <c r="AL251" s="289"/>
      <c r="AM251" s="289"/>
      <c r="AN251" s="289"/>
      <c r="AO251" s="289"/>
      <c r="AP251" s="776">
        <f>ROUND(SUM(P251:AE251),0)</f>
        <v>0</v>
      </c>
      <c r="AQ251" s="776"/>
    </row>
    <row r="252" spans="1:43" ht="3" customHeight="1" x14ac:dyDescent="0.3">
      <c r="D252" s="139"/>
      <c r="E252" s="139"/>
      <c r="F252" s="314"/>
      <c r="G252" s="299"/>
      <c r="T252" s="337"/>
      <c r="AE252" s="336"/>
    </row>
    <row r="253" spans="1:43" ht="14.4" x14ac:dyDescent="0.3">
      <c r="A253" s="109" t="s">
        <v>680</v>
      </c>
      <c r="B253" s="174" t="s">
        <v>835</v>
      </c>
      <c r="C253" s="159"/>
      <c r="D253" s="172"/>
      <c r="E253" s="172"/>
      <c r="F253" s="316"/>
      <c r="G253" s="303"/>
      <c r="H253" s="289"/>
      <c r="I253" s="289"/>
      <c r="J253" s="289"/>
      <c r="K253" s="289"/>
      <c r="L253" s="289"/>
      <c r="M253" s="289"/>
      <c r="N253" s="289"/>
      <c r="O253" s="289"/>
      <c r="P253" s="726">
        <f>ROUND(P251+P235,0)</f>
        <v>0</v>
      </c>
      <c r="Q253" s="726"/>
      <c r="R253" s="289"/>
      <c r="S253" s="289"/>
      <c r="T253" s="341"/>
      <c r="U253" s="289"/>
      <c r="V253" s="289"/>
      <c r="W253" s="289"/>
      <c r="X253" s="289"/>
      <c r="Y253" s="289"/>
      <c r="Z253" s="289"/>
      <c r="AA253" s="289"/>
      <c r="AB253" s="289"/>
      <c r="AC253" s="726">
        <f>ROUND(AC251+AC235,0)</f>
        <v>0</v>
      </c>
      <c r="AD253" s="726"/>
      <c r="AE253" s="342"/>
      <c r="AF253" s="289"/>
      <c r="AG253" s="289"/>
      <c r="AH253" s="289"/>
      <c r="AI253" s="289"/>
      <c r="AJ253" s="289"/>
      <c r="AK253" s="289"/>
      <c r="AL253" s="289"/>
      <c r="AM253" s="289"/>
      <c r="AN253" s="289"/>
      <c r="AO253" s="289"/>
      <c r="AP253" s="776">
        <f>ROUND(SUM(P253:AE253),0)</f>
        <v>0</v>
      </c>
      <c r="AQ253" s="776"/>
    </row>
    <row r="254" spans="1:43" ht="3" customHeight="1" x14ac:dyDescent="0.3">
      <c r="D254" s="139"/>
      <c r="E254" s="139"/>
      <c r="F254" s="314"/>
      <c r="G254" s="299"/>
      <c r="T254" s="337"/>
      <c r="AE254" s="336"/>
    </row>
    <row r="255" spans="1:43" x14ac:dyDescent="0.3">
      <c r="B255" s="125" t="s">
        <v>690</v>
      </c>
      <c r="C255" s="106" t="s">
        <v>691</v>
      </c>
      <c r="T255" s="337"/>
      <c r="AE255" s="336"/>
    </row>
    <row r="256" spans="1:43" ht="3" customHeight="1" x14ac:dyDescent="0.3">
      <c r="T256" s="337"/>
      <c r="AE256" s="336"/>
    </row>
    <row r="257" spans="1:43" x14ac:dyDescent="0.3">
      <c r="A257" s="109" t="s">
        <v>682</v>
      </c>
      <c r="B257" s="158" t="s">
        <v>838</v>
      </c>
      <c r="C257" s="158"/>
      <c r="D257" s="158"/>
      <c r="E257" s="158"/>
      <c r="F257" s="309"/>
      <c r="G257" s="288"/>
      <c r="H257" s="434"/>
      <c r="I257" s="434"/>
      <c r="J257" s="434"/>
      <c r="K257" s="434"/>
      <c r="L257" s="434"/>
      <c r="M257" s="434"/>
      <c r="N257" s="434"/>
      <c r="O257" s="289"/>
      <c r="P257" s="726">
        <f>ROUND(P253*Data!$E$36,0)</f>
        <v>0</v>
      </c>
      <c r="Q257" s="726"/>
      <c r="R257" s="434"/>
      <c r="S257" s="434"/>
      <c r="T257" s="436"/>
      <c r="U257" s="434"/>
      <c r="V257" s="434"/>
      <c r="W257" s="434"/>
      <c r="X257" s="434"/>
      <c r="Y257" s="434"/>
      <c r="Z257" s="434"/>
      <c r="AA257" s="434"/>
      <c r="AB257" s="289"/>
      <c r="AC257" s="726">
        <f>ROUND(AC253*Data!$E$36,0)</f>
        <v>0</v>
      </c>
      <c r="AD257" s="726"/>
      <c r="AE257" s="437"/>
      <c r="AF257" s="288"/>
      <c r="AG257" s="434"/>
      <c r="AH257" s="434"/>
      <c r="AI257" s="434"/>
      <c r="AJ257" s="434"/>
      <c r="AK257" s="434"/>
      <c r="AL257" s="434"/>
      <c r="AM257" s="434"/>
      <c r="AN257" s="434"/>
      <c r="AO257" s="289"/>
      <c r="AP257" s="726">
        <f>ROUND(AP253*Data!$E$36,0)</f>
        <v>0</v>
      </c>
      <c r="AQ257" s="726"/>
    </row>
    <row r="258" spans="1:43" ht="3" customHeight="1" x14ac:dyDescent="0.3">
      <c r="T258" s="337"/>
      <c r="AE258" s="336"/>
    </row>
    <row r="259" spans="1:43" x14ac:dyDescent="0.3">
      <c r="A259" s="109" t="s">
        <v>688</v>
      </c>
      <c r="B259" s="158" t="s">
        <v>837</v>
      </c>
      <c r="C259" s="158"/>
      <c r="D259" s="158"/>
      <c r="E259" s="158"/>
      <c r="F259" s="309"/>
      <c r="G259" s="288"/>
      <c r="H259" s="434"/>
      <c r="I259" s="434"/>
      <c r="J259" s="434"/>
      <c r="K259" s="434"/>
      <c r="L259" s="434"/>
      <c r="M259" s="434"/>
      <c r="N259" s="434"/>
      <c r="O259" s="434"/>
      <c r="P259" s="288"/>
      <c r="Q259" s="288">
        <f>P257+P253</f>
        <v>0</v>
      </c>
      <c r="R259" s="434"/>
      <c r="S259" s="434"/>
      <c r="T259" s="436"/>
      <c r="U259" s="434"/>
      <c r="V259" s="434"/>
      <c r="W259" s="434"/>
      <c r="X259" s="434"/>
      <c r="Y259" s="434"/>
      <c r="Z259" s="434"/>
      <c r="AA259" s="434"/>
      <c r="AB259" s="434"/>
      <c r="AC259" s="288"/>
      <c r="AD259" s="288">
        <f>AC257+AC253</f>
        <v>0</v>
      </c>
      <c r="AE259" s="438"/>
      <c r="AF259" s="434"/>
      <c r="AG259" s="434"/>
      <c r="AH259" s="434"/>
      <c r="AI259" s="434"/>
      <c r="AJ259" s="434"/>
      <c r="AK259" s="434"/>
      <c r="AL259" s="434"/>
      <c r="AM259" s="434"/>
      <c r="AN259" s="434"/>
      <c r="AO259" s="434"/>
      <c r="AP259" s="288"/>
      <c r="AQ259" s="288">
        <f>AP257+AP253</f>
        <v>0</v>
      </c>
    </row>
    <row r="260" spans="1:43" ht="5.25" customHeight="1" x14ac:dyDescent="0.3">
      <c r="T260" s="339"/>
      <c r="U260" s="135"/>
      <c r="V260" s="135"/>
      <c r="W260" s="135"/>
      <c r="X260" s="135"/>
      <c r="Y260" s="135"/>
      <c r="Z260" s="135"/>
      <c r="AA260" s="135"/>
      <c r="AB260" s="135"/>
      <c r="AC260" s="296"/>
      <c r="AD260" s="296"/>
      <c r="AE260" s="340"/>
    </row>
  </sheetData>
  <mergeCells count="482">
    <mergeCell ref="P251:Q251"/>
    <mergeCell ref="AC251:AD251"/>
    <mergeCell ref="AP251:AQ251"/>
    <mergeCell ref="P253:Q253"/>
    <mergeCell ref="AC253:AD253"/>
    <mergeCell ref="AP253:AQ253"/>
    <mergeCell ref="P247:Q247"/>
    <mergeCell ref="AC247:AD247"/>
    <mergeCell ref="AP247:AQ247"/>
    <mergeCell ref="P249:Q249"/>
    <mergeCell ref="AC249:AD249"/>
    <mergeCell ref="AP249:AQ249"/>
    <mergeCell ref="P235:Q235"/>
    <mergeCell ref="AC235:AD235"/>
    <mergeCell ref="AP235:AQ235"/>
    <mergeCell ref="P245:Q245"/>
    <mergeCell ref="AC245:AD245"/>
    <mergeCell ref="AP245:AQ245"/>
    <mergeCell ref="P231:Q231"/>
    <mergeCell ref="AC231:AD231"/>
    <mergeCell ref="AP231:AQ231"/>
    <mergeCell ref="P233:Q233"/>
    <mergeCell ref="AC233:AD233"/>
    <mergeCell ref="AP233:AQ233"/>
    <mergeCell ref="P230:Q230"/>
    <mergeCell ref="AC230:AD230"/>
    <mergeCell ref="AP230:AQ230"/>
    <mergeCell ref="P228:Q228"/>
    <mergeCell ref="AC228:AD228"/>
    <mergeCell ref="AP228:AQ228"/>
    <mergeCell ref="P229:Q229"/>
    <mergeCell ref="AC229:AD229"/>
    <mergeCell ref="AP229:AQ229"/>
    <mergeCell ref="P226:Q226"/>
    <mergeCell ref="AC226:AD226"/>
    <mergeCell ref="AP226:AQ226"/>
    <mergeCell ref="P227:Q227"/>
    <mergeCell ref="AC227:AD227"/>
    <mergeCell ref="AP227:AQ227"/>
    <mergeCell ref="P224:Q224"/>
    <mergeCell ref="AC224:AD224"/>
    <mergeCell ref="AP224:AQ224"/>
    <mergeCell ref="P225:Q225"/>
    <mergeCell ref="AC225:AD225"/>
    <mergeCell ref="AP225:AQ225"/>
    <mergeCell ref="P220:Q220"/>
    <mergeCell ref="AC220:AD220"/>
    <mergeCell ref="AP220:AQ220"/>
    <mergeCell ref="P223:Q223"/>
    <mergeCell ref="AC223:AD223"/>
    <mergeCell ref="AP223:AQ223"/>
    <mergeCell ref="P218:Q218"/>
    <mergeCell ref="AC218:AD218"/>
    <mergeCell ref="AP218:AQ218"/>
    <mergeCell ref="P219:Q219"/>
    <mergeCell ref="AC219:AD219"/>
    <mergeCell ref="AP219:AQ219"/>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P210:Q210"/>
    <mergeCell ref="AC210:AD210"/>
    <mergeCell ref="AP210:AQ210"/>
    <mergeCell ref="P211:Q211"/>
    <mergeCell ref="AC211:AD211"/>
    <mergeCell ref="AP211:AQ211"/>
    <mergeCell ref="P208:Q208"/>
    <mergeCell ref="AC208:AD208"/>
    <mergeCell ref="AP208:AQ208"/>
    <mergeCell ref="P209:Q209"/>
    <mergeCell ref="AC209:AD209"/>
    <mergeCell ref="AP209:AQ209"/>
    <mergeCell ref="P207:Q207"/>
    <mergeCell ref="AC207:AD207"/>
    <mergeCell ref="AP207:AQ207"/>
    <mergeCell ref="P202:Q202"/>
    <mergeCell ref="AC202:AD202"/>
    <mergeCell ref="AP202:AQ202"/>
    <mergeCell ref="P205:Q205"/>
    <mergeCell ref="AC205:AD205"/>
    <mergeCell ref="AP205:AQ205"/>
    <mergeCell ref="P198:Q198"/>
    <mergeCell ref="AC198:AD198"/>
    <mergeCell ref="AP198:AQ198"/>
    <mergeCell ref="P199:Q199"/>
    <mergeCell ref="AC199:AD199"/>
    <mergeCell ref="AP199:AQ199"/>
    <mergeCell ref="P206:Q206"/>
    <mergeCell ref="AC206:AD206"/>
    <mergeCell ref="AP206:AQ206"/>
    <mergeCell ref="AP201:AQ201"/>
    <mergeCell ref="P200:Q200"/>
    <mergeCell ref="AC200:AD200"/>
    <mergeCell ref="AP200:AQ200"/>
    <mergeCell ref="P201:Q201"/>
    <mergeCell ref="AC201:AD201"/>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70:Q170"/>
    <mergeCell ref="AC170:AD170"/>
    <mergeCell ref="AP170:AQ170"/>
    <mergeCell ref="P171:Q171"/>
    <mergeCell ref="AC171:AD171"/>
    <mergeCell ref="AP171:AQ171"/>
    <mergeCell ref="P166:Q166"/>
    <mergeCell ref="AC166:AD166"/>
    <mergeCell ref="AP166:AQ166"/>
    <mergeCell ref="P169:Q169"/>
    <mergeCell ref="AC169:AD169"/>
    <mergeCell ref="AP169:AQ169"/>
    <mergeCell ref="P164:Q164"/>
    <mergeCell ref="AC164:AD164"/>
    <mergeCell ref="AP164:AQ164"/>
    <mergeCell ref="P165:Q165"/>
    <mergeCell ref="AC165:AD165"/>
    <mergeCell ref="AP165:AQ165"/>
    <mergeCell ref="P157:Q157"/>
    <mergeCell ref="AC157:AD157"/>
    <mergeCell ref="AP157:AQ157"/>
    <mergeCell ref="P158:Q158"/>
    <mergeCell ref="AC158:AD158"/>
    <mergeCell ref="AP158:AQ158"/>
    <mergeCell ref="P159:Q159"/>
    <mergeCell ref="P160:Q160"/>
    <mergeCell ref="P161:Q161"/>
    <mergeCell ref="P162:Q162"/>
    <mergeCell ref="P163:Q163"/>
    <mergeCell ref="P155:Q155"/>
    <mergeCell ref="AC155:AD155"/>
    <mergeCell ref="AP155:AQ155"/>
    <mergeCell ref="P156:Q156"/>
    <mergeCell ref="AC156:AD156"/>
    <mergeCell ref="AP156:AQ156"/>
    <mergeCell ref="B150:L150"/>
    <mergeCell ref="P150:Q150"/>
    <mergeCell ref="AC150:AD150"/>
    <mergeCell ref="AP150:AQ150"/>
    <mergeCell ref="P151:Q151"/>
    <mergeCell ref="AC151:AD151"/>
    <mergeCell ref="AP151:AQ151"/>
    <mergeCell ref="P148:Q148"/>
    <mergeCell ref="AC148:AD148"/>
    <mergeCell ref="AP148:AQ148"/>
    <mergeCell ref="P149:Q149"/>
    <mergeCell ref="AC149:AD149"/>
    <mergeCell ref="AP149:AQ149"/>
    <mergeCell ref="P146:Q146"/>
    <mergeCell ref="AC146:AD146"/>
    <mergeCell ref="AP146:AQ146"/>
    <mergeCell ref="P147:Q147"/>
    <mergeCell ref="AC147:AD147"/>
    <mergeCell ref="AP147:AQ147"/>
    <mergeCell ref="P144:Q144"/>
    <mergeCell ref="AC144:AD144"/>
    <mergeCell ref="AP144:AQ144"/>
    <mergeCell ref="P145:Q145"/>
    <mergeCell ref="AC145:AD145"/>
    <mergeCell ref="AP145:AQ145"/>
    <mergeCell ref="P140:Q140"/>
    <mergeCell ref="AC140:AD140"/>
    <mergeCell ref="AP140:AQ140"/>
    <mergeCell ref="P143:Q143"/>
    <mergeCell ref="AC143:AD143"/>
    <mergeCell ref="AP143:AQ143"/>
    <mergeCell ref="P138:Q138"/>
    <mergeCell ref="AC138:AD138"/>
    <mergeCell ref="AP138:AQ138"/>
    <mergeCell ref="P139:Q139"/>
    <mergeCell ref="AC139:AD139"/>
    <mergeCell ref="AP139:AQ139"/>
    <mergeCell ref="P136:Q136"/>
    <mergeCell ref="AC136:AD136"/>
    <mergeCell ref="AP136:AQ136"/>
    <mergeCell ref="P137:Q137"/>
    <mergeCell ref="AC137:AD137"/>
    <mergeCell ref="AP137:AQ137"/>
    <mergeCell ref="P134:Q134"/>
    <mergeCell ref="AC134:AD134"/>
    <mergeCell ref="AP134:AQ134"/>
    <mergeCell ref="P135:Q135"/>
    <mergeCell ref="AC135:AD135"/>
    <mergeCell ref="AP135:AQ135"/>
    <mergeCell ref="P130:Q130"/>
    <mergeCell ref="AC130:AD130"/>
    <mergeCell ref="AP130:AQ130"/>
    <mergeCell ref="P131:Q131"/>
    <mergeCell ref="AC131:AD131"/>
    <mergeCell ref="AP131:AQ131"/>
    <mergeCell ref="P128:Q128"/>
    <mergeCell ref="AC128:AD128"/>
    <mergeCell ref="AP128:AQ128"/>
    <mergeCell ref="P129:Q129"/>
    <mergeCell ref="AC129:AD129"/>
    <mergeCell ref="AP129:AQ129"/>
    <mergeCell ref="P126:Q126"/>
    <mergeCell ref="AC126:AD126"/>
    <mergeCell ref="AP126:AQ126"/>
    <mergeCell ref="P127:Q127"/>
    <mergeCell ref="AC127:AD127"/>
    <mergeCell ref="AP127:AQ127"/>
    <mergeCell ref="P122:Q122"/>
    <mergeCell ref="AC122:AD122"/>
    <mergeCell ref="AP122:AQ122"/>
    <mergeCell ref="P125:Q125"/>
    <mergeCell ref="AC125:AD125"/>
    <mergeCell ref="AP125:AQ125"/>
    <mergeCell ref="P120:Q120"/>
    <mergeCell ref="AC120:AD120"/>
    <mergeCell ref="AP120:AQ120"/>
    <mergeCell ref="P121:Q121"/>
    <mergeCell ref="AC121:AD121"/>
    <mergeCell ref="AP121:AQ12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12:Q112"/>
    <mergeCell ref="AC112:AD112"/>
    <mergeCell ref="AP112:AQ112"/>
    <mergeCell ref="P113:Q113"/>
    <mergeCell ref="AC113:AD113"/>
    <mergeCell ref="AP113:AQ113"/>
    <mergeCell ref="P110:Q110"/>
    <mergeCell ref="AC110:AD110"/>
    <mergeCell ref="AP110:AQ110"/>
    <mergeCell ref="P111:Q111"/>
    <mergeCell ref="AC111:AD111"/>
    <mergeCell ref="AP111:AQ111"/>
    <mergeCell ref="P108:Q108"/>
    <mergeCell ref="AC108:AD108"/>
    <mergeCell ref="AP108:AQ108"/>
    <mergeCell ref="P109:Q109"/>
    <mergeCell ref="AC109:AD109"/>
    <mergeCell ref="AP109:AQ109"/>
    <mergeCell ref="AC103:AD103"/>
    <mergeCell ref="AP103:AQ103"/>
    <mergeCell ref="P107:Q107"/>
    <mergeCell ref="AC107:AD107"/>
    <mergeCell ref="AP107:AQ107"/>
    <mergeCell ref="P103:Q103"/>
    <mergeCell ref="P101:Q101"/>
    <mergeCell ref="AC101:AD101"/>
    <mergeCell ref="AP101:AQ101"/>
    <mergeCell ref="B102:L102"/>
    <mergeCell ref="P102:Q102"/>
    <mergeCell ref="AC102:AD102"/>
    <mergeCell ref="AP102:AQ102"/>
    <mergeCell ref="P99:Q99"/>
    <mergeCell ref="AC99:AD99"/>
    <mergeCell ref="AP99:AQ99"/>
    <mergeCell ref="AC100:AD100"/>
    <mergeCell ref="AP100:AQ100"/>
    <mergeCell ref="P97:Q97"/>
    <mergeCell ref="AC97:AD97"/>
    <mergeCell ref="AP97:AQ97"/>
    <mergeCell ref="P98:Q98"/>
    <mergeCell ref="AC98:AD98"/>
    <mergeCell ref="AP98:AQ98"/>
    <mergeCell ref="AC95:AD95"/>
    <mergeCell ref="AP95:AQ95"/>
    <mergeCell ref="P96:Q96"/>
    <mergeCell ref="AC96:AD96"/>
    <mergeCell ref="AP96:AQ96"/>
    <mergeCell ref="P91:Q91"/>
    <mergeCell ref="AC91:AD91"/>
    <mergeCell ref="AP91:AQ91"/>
    <mergeCell ref="P92:Q92"/>
    <mergeCell ref="AC92:AD92"/>
    <mergeCell ref="AP92:AQ92"/>
    <mergeCell ref="P83:Q83"/>
    <mergeCell ref="AC83:AD83"/>
    <mergeCell ref="AP83:AQ83"/>
    <mergeCell ref="P84:Q84"/>
    <mergeCell ref="AC84:AD84"/>
    <mergeCell ref="AP84:AQ84"/>
    <mergeCell ref="P87:Q87"/>
    <mergeCell ref="P88:Q88"/>
    <mergeCell ref="P89:Q89"/>
    <mergeCell ref="P90:Q90"/>
    <mergeCell ref="AP87:AQ87"/>
    <mergeCell ref="AP88:AQ88"/>
    <mergeCell ref="AP89:AQ89"/>
    <mergeCell ref="AP90:AQ90"/>
    <mergeCell ref="P81:Q81"/>
    <mergeCell ref="AC81:AD81"/>
    <mergeCell ref="AP81:AQ81"/>
    <mergeCell ref="P82:Q82"/>
    <mergeCell ref="AC82:AD82"/>
    <mergeCell ref="AP82:AQ82"/>
    <mergeCell ref="P76:Q76"/>
    <mergeCell ref="AC76:AD76"/>
    <mergeCell ref="AP76:AQ76"/>
    <mergeCell ref="AC80:AD80"/>
    <mergeCell ref="AP80:AQ80"/>
    <mergeCell ref="P70:Q70"/>
    <mergeCell ref="AP70:AQ70"/>
    <mergeCell ref="B75:L75"/>
    <mergeCell ref="P75:Q75"/>
    <mergeCell ref="AC75:AD75"/>
    <mergeCell ref="AP75:AQ75"/>
    <mergeCell ref="B66:L66"/>
    <mergeCell ref="P66:Q66"/>
    <mergeCell ref="AC66:AD66"/>
    <mergeCell ref="AP66:AQ66"/>
    <mergeCell ref="P67:Q67"/>
    <mergeCell ref="AC67:AD67"/>
    <mergeCell ref="AP67:AQ67"/>
    <mergeCell ref="AP71:AQ71"/>
    <mergeCell ref="AP72:AQ72"/>
    <mergeCell ref="AP73:AQ73"/>
    <mergeCell ref="AP74:AQ74"/>
    <mergeCell ref="P71:Q71"/>
    <mergeCell ref="P72:Q72"/>
    <mergeCell ref="P73:Q73"/>
    <mergeCell ref="P74:Q74"/>
    <mergeCell ref="AC70:AD70"/>
    <mergeCell ref="AC71:AD71"/>
    <mergeCell ref="AC72:AD72"/>
    <mergeCell ref="P61:Q61"/>
    <mergeCell ref="AC61:AD61"/>
    <mergeCell ref="AP61:AQ62"/>
    <mergeCell ref="P64:Q64"/>
    <mergeCell ref="AC64:AD64"/>
    <mergeCell ref="AP64:AQ65"/>
    <mergeCell ref="P55:Q55"/>
    <mergeCell ref="AC55:AD55"/>
    <mergeCell ref="AP55:AQ56"/>
    <mergeCell ref="P58:Q58"/>
    <mergeCell ref="AC58:AD58"/>
    <mergeCell ref="AP58:AQ59"/>
    <mergeCell ref="P49:Q49"/>
    <mergeCell ref="AC49:AD49"/>
    <mergeCell ref="AP49:AQ50"/>
    <mergeCell ref="P52:Q52"/>
    <mergeCell ref="AC52:AD52"/>
    <mergeCell ref="AP52:AQ53"/>
    <mergeCell ref="P43:Q43"/>
    <mergeCell ref="AC43:AD43"/>
    <mergeCell ref="AP43:AQ43"/>
    <mergeCell ref="P46:Q46"/>
    <mergeCell ref="AC46:AD46"/>
    <mergeCell ref="AP46:AQ47"/>
    <mergeCell ref="B42:L42"/>
    <mergeCell ref="P42:Q42"/>
    <mergeCell ref="AC42:AD42"/>
    <mergeCell ref="AP42:AQ42"/>
    <mergeCell ref="P25:Q25"/>
    <mergeCell ref="AC25:AD25"/>
    <mergeCell ref="AP25:AQ26"/>
    <mergeCell ref="P37:Q37"/>
    <mergeCell ref="AC37:AD37"/>
    <mergeCell ref="AP37:AQ38"/>
    <mergeCell ref="P28:Q28"/>
    <mergeCell ref="P31:Q31"/>
    <mergeCell ref="P34:Q34"/>
    <mergeCell ref="AC28:AD28"/>
    <mergeCell ref="AC31:AD31"/>
    <mergeCell ref="AC34:AD34"/>
    <mergeCell ref="AP28:AQ29"/>
    <mergeCell ref="AP31:AQ32"/>
    <mergeCell ref="AP34:AQ35"/>
    <mergeCell ref="AW9:BG9"/>
    <mergeCell ref="P11:Q11"/>
    <mergeCell ref="AC11:AD11"/>
    <mergeCell ref="AP11:AQ11"/>
    <mergeCell ref="AW11:BA11"/>
    <mergeCell ref="BC11:BG11"/>
    <mergeCell ref="H9:Q9"/>
    <mergeCell ref="U9:AD9"/>
    <mergeCell ref="AH9:AQ9"/>
    <mergeCell ref="AS9:AU9"/>
    <mergeCell ref="P197:Q197"/>
    <mergeCell ref="AC197:AD197"/>
    <mergeCell ref="AP197:AQ197"/>
    <mergeCell ref="D2:AR2"/>
    <mergeCell ref="D4:AR4"/>
    <mergeCell ref="D5:AR5"/>
    <mergeCell ref="H8:Q8"/>
    <mergeCell ref="U8:AD8"/>
    <mergeCell ref="AH8:AQ8"/>
    <mergeCell ref="P22:Q22"/>
    <mergeCell ref="AC22:AD22"/>
    <mergeCell ref="AP22:AQ23"/>
    <mergeCell ref="P13:Q13"/>
    <mergeCell ref="AC13:AD13"/>
    <mergeCell ref="AP13:AQ14"/>
    <mergeCell ref="P16:Q16"/>
    <mergeCell ref="AC16:AD16"/>
    <mergeCell ref="AP16:AQ17"/>
    <mergeCell ref="P19:Q19"/>
    <mergeCell ref="AC19:AD19"/>
    <mergeCell ref="AP19:AQ20"/>
    <mergeCell ref="P40:Q40"/>
    <mergeCell ref="AC40:AD40"/>
    <mergeCell ref="AP40:AQ41"/>
    <mergeCell ref="P257:Q257"/>
    <mergeCell ref="AC257:AD257"/>
    <mergeCell ref="AP257:AQ257"/>
    <mergeCell ref="AC73:AD73"/>
    <mergeCell ref="AC74:AD74"/>
    <mergeCell ref="AP240:AQ240"/>
    <mergeCell ref="AP241:AQ241"/>
    <mergeCell ref="AP243:AQ243"/>
    <mergeCell ref="P94:Q94"/>
    <mergeCell ref="AP193:AQ193"/>
    <mergeCell ref="AC193:AD193"/>
    <mergeCell ref="P193:Q193"/>
    <mergeCell ref="AP192:AQ192"/>
    <mergeCell ref="AC192:AD192"/>
    <mergeCell ref="P192:Q192"/>
    <mergeCell ref="P243:Q243"/>
    <mergeCell ref="P241:Q241"/>
    <mergeCell ref="P240:Q240"/>
    <mergeCell ref="AC243:AD243"/>
    <mergeCell ref="AC241:AD241"/>
    <mergeCell ref="AC240:AD240"/>
    <mergeCell ref="P196:Q196"/>
    <mergeCell ref="AC196:AD196"/>
    <mergeCell ref="AP196:AQ196"/>
  </mergeCells>
  <conditionalFormatting sqref="J13:K13">
    <cfRule type="expression" dxfId="544" priority="1441" stopIfTrue="1">
      <formula>CT13=2</formula>
    </cfRule>
  </conditionalFormatting>
  <conditionalFormatting sqref="J16:K16">
    <cfRule type="expression" dxfId="543" priority="160" stopIfTrue="1">
      <formula>CT16=2</formula>
    </cfRule>
  </conditionalFormatting>
  <conditionalFormatting sqref="J19:K19">
    <cfRule type="expression" dxfId="542" priority="144" stopIfTrue="1">
      <formula>CT19=2</formula>
    </cfRule>
  </conditionalFormatting>
  <conditionalFormatting sqref="J22:K22">
    <cfRule type="expression" dxfId="541" priority="128" stopIfTrue="1">
      <formula>CT22=2</formula>
    </cfRule>
  </conditionalFormatting>
  <conditionalFormatting sqref="J25:K26">
    <cfRule type="expression" dxfId="540" priority="96" stopIfTrue="1">
      <formula>CT25=2</formula>
    </cfRule>
  </conditionalFormatting>
  <conditionalFormatting sqref="J28:K28">
    <cfRule type="expression" dxfId="539" priority="88" stopIfTrue="1">
      <formula>CT28=2</formula>
    </cfRule>
  </conditionalFormatting>
  <conditionalFormatting sqref="J31:K31">
    <cfRule type="expression" dxfId="538" priority="82" stopIfTrue="1">
      <formula>CT31=2</formula>
    </cfRule>
  </conditionalFormatting>
  <conditionalFormatting sqref="J34:K34">
    <cfRule type="expression" dxfId="537" priority="76" stopIfTrue="1">
      <formula>CT34=2</formula>
    </cfRule>
  </conditionalFormatting>
  <conditionalFormatting sqref="J37:K37">
    <cfRule type="expression" dxfId="536" priority="64" stopIfTrue="1">
      <formula>CT37=2</formula>
    </cfRule>
  </conditionalFormatting>
  <conditionalFormatting sqref="J40:K40">
    <cfRule type="expression" dxfId="535" priority="58" stopIfTrue="1">
      <formula>CT40=2</formula>
    </cfRule>
  </conditionalFormatting>
  <conditionalFormatting sqref="J46:K46">
    <cfRule type="expression" dxfId="534" priority="52" stopIfTrue="1">
      <formula>CT46=2</formula>
    </cfRule>
  </conditionalFormatting>
  <conditionalFormatting sqref="J49:K49">
    <cfRule type="expression" dxfId="533" priority="46" stopIfTrue="1">
      <formula>CT49=2</formula>
    </cfRule>
  </conditionalFormatting>
  <conditionalFormatting sqref="J52:K52">
    <cfRule type="expression" dxfId="532" priority="40" stopIfTrue="1">
      <formula>CT52=2</formula>
    </cfRule>
  </conditionalFormatting>
  <conditionalFormatting sqref="J55:K55">
    <cfRule type="expression" dxfId="531" priority="34" stopIfTrue="1">
      <formula>CT55=2</formula>
    </cfRule>
  </conditionalFormatting>
  <conditionalFormatting sqref="J58:K58">
    <cfRule type="expression" dxfId="530" priority="28" stopIfTrue="1">
      <formula>CT58=2</formula>
    </cfRule>
  </conditionalFormatting>
  <conditionalFormatting sqref="J61:K61">
    <cfRule type="expression" dxfId="529" priority="4" stopIfTrue="1">
      <formula>CT61=2</formula>
    </cfRule>
  </conditionalFormatting>
  <conditionalFormatting sqref="J64:K64">
    <cfRule type="expression" dxfId="528" priority="10" stopIfTrue="1">
      <formula>CT64=2</formula>
    </cfRule>
  </conditionalFormatting>
  <conditionalFormatting sqref="N13">
    <cfRule type="expression" dxfId="527" priority="168" stopIfTrue="1">
      <formula>CX13=2</formula>
    </cfRule>
  </conditionalFormatting>
  <conditionalFormatting sqref="N16">
    <cfRule type="expression" dxfId="526" priority="152" stopIfTrue="1">
      <formula>CX16=2</formula>
    </cfRule>
  </conditionalFormatting>
  <conditionalFormatting sqref="N19">
    <cfRule type="expression" dxfId="525" priority="136" stopIfTrue="1">
      <formula>CX19=2</formula>
    </cfRule>
  </conditionalFormatting>
  <conditionalFormatting sqref="N22">
    <cfRule type="expression" dxfId="524" priority="120" stopIfTrue="1">
      <formula>CX22=2</formula>
    </cfRule>
  </conditionalFormatting>
  <conditionalFormatting sqref="N25:N26">
    <cfRule type="expression" dxfId="523" priority="93" stopIfTrue="1">
      <formula>CX25=2</formula>
    </cfRule>
  </conditionalFormatting>
  <conditionalFormatting sqref="N28">
    <cfRule type="expression" dxfId="522" priority="85" stopIfTrue="1">
      <formula>CX28=2</formula>
    </cfRule>
  </conditionalFormatting>
  <conditionalFormatting sqref="N31">
    <cfRule type="expression" dxfId="521" priority="79" stopIfTrue="1">
      <formula>CX31=2</formula>
    </cfRule>
  </conditionalFormatting>
  <conditionalFormatting sqref="N34">
    <cfRule type="expression" dxfId="520" priority="73" stopIfTrue="1">
      <formula>CX34=2</formula>
    </cfRule>
  </conditionalFormatting>
  <conditionalFormatting sqref="N37">
    <cfRule type="expression" dxfId="519" priority="61" stopIfTrue="1">
      <formula>CX37=2</formula>
    </cfRule>
  </conditionalFormatting>
  <conditionalFormatting sqref="N40">
    <cfRule type="expression" dxfId="518" priority="55" stopIfTrue="1">
      <formula>CX40=2</formula>
    </cfRule>
  </conditionalFormatting>
  <conditionalFormatting sqref="N46">
    <cfRule type="expression" dxfId="517" priority="49" stopIfTrue="1">
      <formula>CX46=2</formula>
    </cfRule>
  </conditionalFormatting>
  <conditionalFormatting sqref="N49">
    <cfRule type="expression" dxfId="516" priority="43" stopIfTrue="1">
      <formula>CX49=2</formula>
    </cfRule>
  </conditionalFormatting>
  <conditionalFormatting sqref="N52">
    <cfRule type="expression" dxfId="515" priority="37" stopIfTrue="1">
      <formula>CX52=2</formula>
    </cfRule>
  </conditionalFormatting>
  <conditionalFormatting sqref="N55">
    <cfRule type="expression" dxfId="514" priority="31" stopIfTrue="1">
      <formula>CX55=2</formula>
    </cfRule>
  </conditionalFormatting>
  <conditionalFormatting sqref="N58">
    <cfRule type="expression" dxfId="513" priority="25" stopIfTrue="1">
      <formula>CX58=2</formula>
    </cfRule>
  </conditionalFormatting>
  <conditionalFormatting sqref="N61">
    <cfRule type="expression" dxfId="512" priority="1" stopIfTrue="1">
      <formula>CX61=2</formula>
    </cfRule>
  </conditionalFormatting>
  <conditionalFormatting sqref="N64">
    <cfRule type="expression" dxfId="511" priority="7" stopIfTrue="1">
      <formula>CX64=2</formula>
    </cfRule>
  </conditionalFormatting>
  <conditionalFormatting sqref="W13">
    <cfRule type="expression" dxfId="510" priority="3420" stopIfTrue="1">
      <formula>DE13=2</formula>
    </cfRule>
  </conditionalFormatting>
  <conditionalFormatting sqref="W46">
    <cfRule type="expression" dxfId="509" priority="1622" stopIfTrue="1">
      <formula>DE46=2</formula>
    </cfRule>
  </conditionalFormatting>
  <conditionalFormatting sqref="W13:X13">
    <cfRule type="expression" dxfId="508" priority="1970" stopIfTrue="1">
      <formula>DG13=2</formula>
    </cfRule>
  </conditionalFormatting>
  <conditionalFormatting sqref="W16:X16">
    <cfRule type="expression" dxfId="507" priority="3563" stopIfTrue="1">
      <formula>DE16=2</formula>
    </cfRule>
    <cfRule type="expression" dxfId="506" priority="1951" stopIfTrue="1">
      <formula>DG16=2</formula>
    </cfRule>
  </conditionalFormatting>
  <conditionalFormatting sqref="W19:X19">
    <cfRule type="expression" dxfId="505" priority="3550" stopIfTrue="1">
      <formula>DE19=2</formula>
    </cfRule>
    <cfRule type="expression" dxfId="504" priority="1932" stopIfTrue="1">
      <formula>DG19=2</formula>
    </cfRule>
  </conditionalFormatting>
  <conditionalFormatting sqref="W22:X22">
    <cfRule type="expression" dxfId="503" priority="3537" stopIfTrue="1">
      <formula>DE22=2</formula>
    </cfRule>
    <cfRule type="expression" dxfId="502" priority="1913" stopIfTrue="1">
      <formula>DG22=2</formula>
    </cfRule>
  </conditionalFormatting>
  <conditionalFormatting sqref="W25:X25">
    <cfRule type="expression" dxfId="501" priority="2015" stopIfTrue="1">
      <formula>DG25=2</formula>
    </cfRule>
    <cfRule type="expression" dxfId="500" priority="3524" stopIfTrue="1">
      <formula>DE25=2</formula>
    </cfRule>
  </conditionalFormatting>
  <conditionalFormatting sqref="W37:X37">
    <cfRule type="expression" dxfId="499" priority="3511" stopIfTrue="1">
      <formula>DE37=2</formula>
    </cfRule>
    <cfRule type="expression" dxfId="498" priority="1894" stopIfTrue="1">
      <formula>DG37=2</formula>
    </cfRule>
  </conditionalFormatting>
  <conditionalFormatting sqref="W40:X40">
    <cfRule type="expression" dxfId="497" priority="3498" stopIfTrue="1">
      <formula>DE40=2</formula>
    </cfRule>
    <cfRule type="expression" dxfId="496" priority="1989" stopIfTrue="1">
      <formula>DG40=2</formula>
    </cfRule>
  </conditionalFormatting>
  <conditionalFormatting sqref="W49:X49">
    <cfRule type="expression" dxfId="495" priority="1616" stopIfTrue="1">
      <formula>DE49=2</formula>
    </cfRule>
  </conditionalFormatting>
  <conditionalFormatting sqref="W52:X52">
    <cfRule type="expression" dxfId="494" priority="3427" stopIfTrue="1">
      <formula>DF52=2</formula>
    </cfRule>
    <cfRule type="expression" dxfId="493" priority="1580" stopIfTrue="1">
      <formula>DG52=2</formula>
    </cfRule>
    <cfRule type="expression" dxfId="492" priority="3597" stopIfTrue="1">
      <formula>DE52=2</formula>
    </cfRule>
    <cfRule type="expression" dxfId="491" priority="1610" stopIfTrue="1">
      <formula>DE52=2</formula>
    </cfRule>
  </conditionalFormatting>
  <conditionalFormatting sqref="W55:X55">
    <cfRule type="expression" dxfId="490" priority="1604" stopIfTrue="1">
      <formula>DE55=2</formula>
    </cfRule>
    <cfRule type="expression" dxfId="489" priority="1574" stopIfTrue="1">
      <formula>DG55=2</formula>
    </cfRule>
    <cfRule type="expression" dxfId="488" priority="1528" stopIfTrue="1">
      <formula>DE55=2</formula>
    </cfRule>
    <cfRule type="expression" dxfId="487" priority="1522" stopIfTrue="1">
      <formula>DG55=2</formula>
    </cfRule>
  </conditionalFormatting>
  <conditionalFormatting sqref="W58:X58">
    <cfRule type="expression" dxfId="486" priority="1509" stopIfTrue="1">
      <formula>DE58=2</formula>
    </cfRule>
    <cfRule type="expression" dxfId="485" priority="1568" stopIfTrue="1">
      <formula>DG58=2</formula>
    </cfRule>
    <cfRule type="expression" dxfId="484" priority="1598" stopIfTrue="1">
      <formula>DE58=2</formula>
    </cfRule>
    <cfRule type="expression" dxfId="483" priority="1503" stopIfTrue="1">
      <formula>DG58=2</formula>
    </cfRule>
  </conditionalFormatting>
  <conditionalFormatting sqref="W61:X61">
    <cfRule type="expression" dxfId="482" priority="1484" stopIfTrue="1">
      <formula>DG61=2</formula>
    </cfRule>
    <cfRule type="expression" dxfId="481" priority="1562" stopIfTrue="1">
      <formula>DG61=2</formula>
    </cfRule>
    <cfRule type="expression" dxfId="480" priority="1490" stopIfTrue="1">
      <formula>DE61=2</formula>
    </cfRule>
    <cfRule type="expression" dxfId="479" priority="1592" stopIfTrue="1">
      <formula>DE61=2</formula>
    </cfRule>
  </conditionalFormatting>
  <conditionalFormatting sqref="W64:X64">
    <cfRule type="expression" dxfId="478" priority="1471" stopIfTrue="1">
      <formula>DE64=2</formula>
    </cfRule>
    <cfRule type="expression" dxfId="477" priority="1465" stopIfTrue="1">
      <formula>DG64=2</formula>
    </cfRule>
  </conditionalFormatting>
  <conditionalFormatting sqref="Y13 Y16 Y19 Y22 Y25 Y28 Y31 Y34 Y37 Y40">
    <cfRule type="expression" dxfId="476" priority="1100" stopIfTrue="1">
      <formula>DL13=2</formula>
    </cfRule>
  </conditionalFormatting>
  <conditionalFormatting sqref="Y13">
    <cfRule type="expression" dxfId="475" priority="3419" stopIfTrue="1">
      <formula>DJ13=2</formula>
    </cfRule>
  </conditionalFormatting>
  <conditionalFormatting sqref="Y16">
    <cfRule type="expression" dxfId="474" priority="3381" stopIfTrue="1">
      <formula>DJ16=2</formula>
    </cfRule>
  </conditionalFormatting>
  <conditionalFormatting sqref="Y19">
    <cfRule type="expression" dxfId="473" priority="3371" stopIfTrue="1">
      <formula>DJ19=2</formula>
    </cfRule>
  </conditionalFormatting>
  <conditionalFormatting sqref="Y22">
    <cfRule type="expression" dxfId="472" priority="3223" stopIfTrue="1">
      <formula>DJ22=2</formula>
    </cfRule>
  </conditionalFormatting>
  <conditionalFormatting sqref="Y25">
    <cfRule type="expression" dxfId="471" priority="3518" stopIfTrue="1">
      <formula>DJ25=2</formula>
    </cfRule>
  </conditionalFormatting>
  <conditionalFormatting sqref="Y37">
    <cfRule type="expression" dxfId="470" priority="3505" stopIfTrue="1">
      <formula>DJ37=2</formula>
    </cfRule>
  </conditionalFormatting>
  <conditionalFormatting sqref="Y40">
    <cfRule type="expression" dxfId="469" priority="3492" stopIfTrue="1">
      <formula>DJ40=2</formula>
    </cfRule>
  </conditionalFormatting>
  <conditionalFormatting sqref="Y46 Y49 Y52 Y55 Y58 Y61 Y64">
    <cfRule type="expression" dxfId="468" priority="1062" stopIfTrue="1">
      <formula>DL46=2</formula>
    </cfRule>
  </conditionalFormatting>
  <conditionalFormatting sqref="Y46">
    <cfRule type="expression" dxfId="467" priority="1619" stopIfTrue="1">
      <formula>DJ46=2</formula>
    </cfRule>
  </conditionalFormatting>
  <conditionalFormatting sqref="Y49">
    <cfRule type="expression" dxfId="466" priority="1615" stopIfTrue="1">
      <formula>DJ49=2</formula>
    </cfRule>
  </conditionalFormatting>
  <conditionalFormatting sqref="Y52">
    <cfRule type="expression" dxfId="465" priority="3355" stopIfTrue="1">
      <formula>DL52=2</formula>
    </cfRule>
    <cfRule type="expression" dxfId="464" priority="3361" stopIfTrue="1">
      <formula>DJ52=2</formula>
    </cfRule>
    <cfRule type="expression" dxfId="463" priority="3596" stopIfTrue="1">
      <formula>DJ52=2</formula>
    </cfRule>
    <cfRule type="expression" dxfId="462" priority="1609" stopIfTrue="1">
      <formula>DJ52=2</formula>
    </cfRule>
    <cfRule type="expression" dxfId="461" priority="3426" stopIfTrue="1">
      <formula>DK52=2</formula>
    </cfRule>
  </conditionalFormatting>
  <conditionalFormatting sqref="Y55">
    <cfRule type="expression" dxfId="460" priority="3345" stopIfTrue="1">
      <formula>DL55=2</formula>
    </cfRule>
    <cfRule type="expression" dxfId="459" priority="1535" stopIfTrue="1">
      <formula>DL55=2</formula>
    </cfRule>
    <cfRule type="expression" dxfId="458" priority="1527" stopIfTrue="1">
      <formula>DJ55=2</formula>
    </cfRule>
    <cfRule type="expression" dxfId="457" priority="1603" stopIfTrue="1">
      <formula>DJ55=2</formula>
    </cfRule>
    <cfRule type="expression" dxfId="456" priority="3351" stopIfTrue="1">
      <formula>DJ55=2</formula>
    </cfRule>
  </conditionalFormatting>
  <conditionalFormatting sqref="Y58">
    <cfRule type="expression" dxfId="455" priority="1508" stopIfTrue="1">
      <formula>DJ58=2</formula>
    </cfRule>
    <cfRule type="expression" dxfId="454" priority="3203" stopIfTrue="1">
      <formula>DL58=2</formula>
    </cfRule>
    <cfRule type="expression" dxfId="453" priority="1597" stopIfTrue="1">
      <formula>DJ58=2</formula>
    </cfRule>
    <cfRule type="expression" dxfId="452" priority="1539" stopIfTrue="1">
      <formula>DL58=2</formula>
    </cfRule>
    <cfRule type="expression" dxfId="451" priority="3209" stopIfTrue="1">
      <formula>DJ58=2</formula>
    </cfRule>
  </conditionalFormatting>
  <conditionalFormatting sqref="Y61">
    <cfRule type="expression" dxfId="450" priority="3195" stopIfTrue="1">
      <formula>DJ61=2</formula>
    </cfRule>
    <cfRule type="expression" dxfId="449" priority="3189" stopIfTrue="1">
      <formula>DL61=2</formula>
    </cfRule>
    <cfRule type="expression" dxfId="448" priority="1543" stopIfTrue="1">
      <formula>DL61=2</formula>
    </cfRule>
    <cfRule type="expression" dxfId="447" priority="1489" stopIfTrue="1">
      <formula>DJ61=2</formula>
    </cfRule>
    <cfRule type="expression" dxfId="446" priority="1591" stopIfTrue="1">
      <formula>DJ61=2</formula>
    </cfRule>
  </conditionalFormatting>
  <conditionalFormatting sqref="Y64">
    <cfRule type="expression" dxfId="445" priority="1470" stopIfTrue="1">
      <formula>DJ64=2</formula>
    </cfRule>
  </conditionalFormatting>
  <conditionalFormatting sqref="Y39:AA39 AL39:AN39 Y63:AA63 AL63:AN63">
    <cfRule type="cellIs" dxfId="444" priority="3752" stopIfTrue="1" operator="greaterThan">
      <formula>9</formula>
    </cfRule>
  </conditionalFormatting>
  <conditionalFormatting sqref="AA13">
    <cfRule type="expression" dxfId="443" priority="1966" stopIfTrue="1">
      <formula>DK13=2</formula>
    </cfRule>
    <cfRule type="expression" dxfId="442" priority="3741" stopIfTrue="1">
      <formula>DI13=2</formula>
    </cfRule>
  </conditionalFormatting>
  <conditionalFormatting sqref="AA16 AA19 AA22 AA25 AA28 AA31 AA34 AA37 AA40">
    <cfRule type="expression" dxfId="441" priority="1059" stopIfTrue="1">
      <formula>DI16=2</formula>
    </cfRule>
    <cfRule type="expression" dxfId="440" priority="1050" stopIfTrue="1">
      <formula>DK16=2</formula>
    </cfRule>
  </conditionalFormatting>
  <conditionalFormatting sqref="AA16">
    <cfRule type="expression" dxfId="439" priority="1947" stopIfTrue="1">
      <formula>DK16=2</formula>
    </cfRule>
    <cfRule type="expression" dxfId="438" priority="3558" stopIfTrue="1">
      <formula>DI16=2</formula>
    </cfRule>
  </conditionalFormatting>
  <conditionalFormatting sqref="AA19">
    <cfRule type="expression" dxfId="437" priority="1928" stopIfTrue="1">
      <formula>DK19=2</formula>
    </cfRule>
    <cfRule type="expression" dxfId="436" priority="3545" stopIfTrue="1">
      <formula>DI19=2</formula>
    </cfRule>
  </conditionalFormatting>
  <conditionalFormatting sqref="AA22">
    <cfRule type="expression" dxfId="435" priority="1909" stopIfTrue="1">
      <formula>DK22=2</formula>
    </cfRule>
    <cfRule type="expression" dxfId="434" priority="3532" stopIfTrue="1">
      <formula>DI22=2</formula>
    </cfRule>
  </conditionalFormatting>
  <conditionalFormatting sqref="AA25">
    <cfRule type="expression" dxfId="433" priority="3519" stopIfTrue="1">
      <formula>DI25=2</formula>
    </cfRule>
    <cfRule type="expression" dxfId="432" priority="2011" stopIfTrue="1">
      <formula>DK25=2</formula>
    </cfRule>
  </conditionalFormatting>
  <conditionalFormatting sqref="AA37">
    <cfRule type="expression" dxfId="431" priority="1890" stopIfTrue="1">
      <formula>DK37=2</formula>
    </cfRule>
    <cfRule type="expression" dxfId="430" priority="3506" stopIfTrue="1">
      <formula>DI37=2</formula>
    </cfRule>
  </conditionalFormatting>
  <conditionalFormatting sqref="AA40">
    <cfRule type="expression" dxfId="429" priority="1985" stopIfTrue="1">
      <formula>DK40=2</formula>
    </cfRule>
    <cfRule type="expression" dxfId="428" priority="3493" stopIfTrue="1">
      <formula>DI40=2</formula>
    </cfRule>
  </conditionalFormatting>
  <conditionalFormatting sqref="AA46">
    <cfRule type="expression" dxfId="427" priority="1620" stopIfTrue="1">
      <formula>DI46=2</formula>
    </cfRule>
  </conditionalFormatting>
  <conditionalFormatting sqref="AA49">
    <cfRule type="expression" dxfId="426" priority="1612" stopIfTrue="1">
      <formula>DI49=2</formula>
    </cfRule>
  </conditionalFormatting>
  <conditionalFormatting sqref="AA52">
    <cfRule type="expression" dxfId="425" priority="1606" stopIfTrue="1">
      <formula>DI52=2</formula>
    </cfRule>
    <cfRule type="expression" dxfId="424" priority="1576" stopIfTrue="1">
      <formula>DK52=2</formula>
    </cfRule>
    <cfRule type="expression" dxfId="423" priority="3423" stopIfTrue="1">
      <formula>DJ52=2</formula>
    </cfRule>
    <cfRule type="expression" dxfId="422" priority="3593" stopIfTrue="1">
      <formula>DI52=2</formula>
    </cfRule>
  </conditionalFormatting>
  <conditionalFormatting sqref="AA55">
    <cfRule type="expression" dxfId="421" priority="1518" stopIfTrue="1">
      <formula>DK55=2</formula>
    </cfRule>
    <cfRule type="expression" dxfId="420" priority="1524" stopIfTrue="1">
      <formula>DI55=2</formula>
    </cfRule>
    <cfRule type="expression" dxfId="419" priority="1600" stopIfTrue="1">
      <formula>DI55=2</formula>
    </cfRule>
    <cfRule type="expression" dxfId="418" priority="1570" stopIfTrue="1">
      <formula>DK55=2</formula>
    </cfRule>
  </conditionalFormatting>
  <conditionalFormatting sqref="AA58">
    <cfRule type="expression" dxfId="417" priority="1505" stopIfTrue="1">
      <formula>DI58=2</formula>
    </cfRule>
    <cfRule type="expression" dxfId="416" priority="1499" stopIfTrue="1">
      <formula>DK58=2</formula>
    </cfRule>
    <cfRule type="expression" dxfId="415" priority="1594" stopIfTrue="1">
      <formula>DI58=2</formula>
    </cfRule>
    <cfRule type="expression" dxfId="414" priority="1564" stopIfTrue="1">
      <formula>DK58=2</formula>
    </cfRule>
  </conditionalFormatting>
  <conditionalFormatting sqref="AA61">
    <cfRule type="expression" dxfId="413" priority="1480" stopIfTrue="1">
      <formula>DK61=2</formula>
    </cfRule>
    <cfRule type="expression" dxfId="412" priority="1486" stopIfTrue="1">
      <formula>DI61=2</formula>
    </cfRule>
    <cfRule type="expression" dxfId="411" priority="1588" stopIfTrue="1">
      <formula>DI61=2</formula>
    </cfRule>
    <cfRule type="expression" dxfId="410" priority="1558" stopIfTrue="1">
      <formula>DK61=2</formula>
    </cfRule>
  </conditionalFormatting>
  <conditionalFormatting sqref="AA64">
    <cfRule type="expression" dxfId="409" priority="1467" stopIfTrue="1">
      <formula>DI64=2</formula>
    </cfRule>
    <cfRule type="expression" dxfId="408" priority="1461" stopIfTrue="1">
      <formula>DK64=2</formula>
    </cfRule>
  </conditionalFormatting>
  <dataValidations xWindow="455" yWindow="428" count="4">
    <dataValidation type="list" allowBlank="1" showInputMessage="1" showErrorMessage="1" sqref="D16 D22 D25 D49 D40 D37 D18:D19 D46 D52 D55 D34 D61 D64 D28 D31 D58 D13" xr:uid="{00000000-0002-0000-0500-000000000000}">
      <formula1>Faculty</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AA34 W37 AA19 N28 N19 N16 W22 N52 AA22 J19 W25 J16 AA16 W19 N13 AA31 AA40 J37 J13 AA25 J52 W16 N55 W58 J28 AA13 J55 N31 W13 N46 J46 AA37 W40 N49 J49 N58 J58 N40 N34 J34 J31 AA64 W64 W46 AA46 W49 AA49 AA52 W52 AA55 W55 AA61 W61 AA58 J40 N22 J22 AA28 N25 J25 N64 J64 N61 J61" xr:uid="{00000000-0002-0000-0500-000001000000}"/>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Y31 Y64 Y61 Y58 Y55 Y34 Y37 Y28 Y40 Y52 Y46 Y49 Y13 Y16 Y19 Y22 Y25" xr:uid="{00000000-0002-0000-0500-000002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13 U64 L13 L16 L19 L31 H28 H34 U40 L22 H25 L25 U13 U16 U19 U22 U25 U28 U31 U34 U37 L40 H58 L49 H37 L55 H46 U46 U49 U52 U55 U58 U61 H52 H16 H19 H22 L28 H31 L34 L37 H40 L46 H49 L52 H55 L58 L64 H64 H61 L61" xr:uid="{00000000-0002-0000-0500-000003000000}">
      <formula1>9</formula1>
    </dataValidation>
  </dataValidations>
  <printOptions horizontalCentered="1"/>
  <pageMargins left="0.5" right="0.5" top="0.5" bottom="0.5" header="0.5" footer="0.23"/>
  <pageSetup scale="93" fitToHeight="2" orientation="portrait" r:id="rId1"/>
  <headerFooter alignWithMargins="0">
    <oddFooter>&amp;L&amp;"-,Regular"&amp;8&amp;F/&amp;A&amp;C&amp;"Calibri,Regular"&amp;8Page &amp;P of &amp;N&amp;R&amp;"Calibri,Regular"&amp;8&amp;D</oddFooter>
  </headerFooter>
  <rowBreaks count="1" manualBreakCount="1">
    <brk id="176" max="43" man="1"/>
  </rowBreaks>
  <ignoredErrors>
    <ignoredError sqref="B164:B222 B79:B94 B154:B15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7"/>
  <sheetViews>
    <sheetView topLeftCell="A16" workbookViewId="0">
      <selection activeCell="D4" sqref="D4:Y4"/>
    </sheetView>
  </sheetViews>
  <sheetFormatPr defaultColWidth="8" defaultRowHeight="13.8" x14ac:dyDescent="0.3"/>
  <cols>
    <col min="1" max="1" width="5.109375" style="237" customWidth="1"/>
    <col min="2" max="2" width="8" style="237" customWidth="1"/>
    <col min="3" max="3" width="5.109375" style="237" customWidth="1"/>
    <col min="4" max="4" width="27.109375" style="237" customWidth="1"/>
    <col min="5" max="5" width="9.21875" style="244" customWidth="1"/>
    <col min="6" max="6" width="0.88671875" style="244" customWidth="1"/>
    <col min="7" max="7" width="7.109375" style="244" customWidth="1"/>
    <col min="8" max="8" width="0.88671875" style="244" customWidth="1"/>
    <col min="9" max="9" width="7.109375" style="244" customWidth="1"/>
    <col min="10" max="10" width="0.88671875" style="244" customWidth="1"/>
    <col min="11" max="11" width="8.21875" style="244" customWidth="1"/>
    <col min="12" max="12" width="4.88671875" style="237" customWidth="1"/>
    <col min="13" max="13" width="8" style="237" customWidth="1"/>
    <col min="14" max="14" width="3.109375" style="237" customWidth="1"/>
    <col min="15" max="16384" width="8" style="237"/>
  </cols>
  <sheetData>
    <row r="1" spans="2:19" ht="33" customHeight="1" x14ac:dyDescent="0.4">
      <c r="C1" s="710" t="s">
        <v>659</v>
      </c>
      <c r="D1" s="710"/>
      <c r="E1" s="710"/>
      <c r="F1" s="710"/>
      <c r="G1" s="710"/>
      <c r="H1" s="710"/>
      <c r="I1" s="710"/>
      <c r="J1" s="710"/>
      <c r="K1" s="710"/>
      <c r="L1" s="710"/>
    </row>
    <row r="2" spans="2:19" ht="24" customHeight="1" x14ac:dyDescent="0.4">
      <c r="C2" s="713" t="s">
        <v>660</v>
      </c>
      <c r="D2" s="713"/>
      <c r="E2" s="713"/>
      <c r="F2" s="713"/>
      <c r="G2" s="713"/>
      <c r="H2" s="713"/>
      <c r="I2" s="713"/>
      <c r="J2" s="713"/>
      <c r="K2" s="713"/>
      <c r="L2" s="713"/>
    </row>
    <row r="3" spans="2:19" ht="25.5" customHeight="1" x14ac:dyDescent="0.3">
      <c r="C3" s="711" t="s">
        <v>661</v>
      </c>
      <c r="D3" s="711"/>
      <c r="E3" s="711"/>
      <c r="F3" s="711"/>
      <c r="G3" s="711"/>
      <c r="H3" s="711"/>
      <c r="I3" s="711"/>
      <c r="J3" s="711"/>
      <c r="K3" s="711"/>
    </row>
    <row r="4" spans="2:19" ht="9.75" customHeight="1" x14ac:dyDescent="0.3">
      <c r="C4" s="599"/>
      <c r="D4" s="599"/>
      <c r="E4" s="599"/>
      <c r="F4" s="599"/>
      <c r="G4" s="599"/>
      <c r="H4" s="599"/>
      <c r="I4" s="599"/>
      <c r="J4" s="599"/>
      <c r="K4" s="599"/>
    </row>
    <row r="5" spans="2:19" ht="47.25" customHeight="1" x14ac:dyDescent="0.3">
      <c r="B5" s="712">
        <f>'YEAR 2'!D4</f>
        <v>0</v>
      </c>
      <c r="C5" s="712"/>
      <c r="D5" s="712"/>
      <c r="E5" s="712"/>
      <c r="F5" s="712"/>
      <c r="G5" s="712"/>
      <c r="H5" s="712"/>
      <c r="I5" s="712"/>
      <c r="J5" s="712"/>
      <c r="K5" s="712"/>
      <c r="L5" s="238"/>
      <c r="M5" s="238"/>
      <c r="N5" s="239" t="s">
        <v>179</v>
      </c>
      <c r="O5" s="238"/>
      <c r="P5" s="238"/>
      <c r="Q5" s="238"/>
      <c r="R5" s="238"/>
      <c r="S5" s="238"/>
    </row>
    <row r="6" spans="2:19" ht="15.6" x14ac:dyDescent="0.3">
      <c r="B6" s="714" t="str">
        <f>'YEAR 2'!D5</f>
        <v>Year Two:  December 31, 1900 - December 30, 1901</v>
      </c>
      <c r="C6" s="714"/>
      <c r="D6" s="714"/>
      <c r="E6" s="714"/>
      <c r="F6" s="714"/>
      <c r="G6" s="714"/>
      <c r="H6" s="714"/>
      <c r="I6" s="714"/>
      <c r="J6" s="714"/>
      <c r="K6" s="714"/>
    </row>
    <row r="7" spans="2:19" ht="18" x14ac:dyDescent="0.35">
      <c r="B7" s="708"/>
      <c r="C7" s="708"/>
      <c r="D7" s="708"/>
      <c r="E7" s="708"/>
      <c r="F7" s="708"/>
      <c r="G7" s="708"/>
      <c r="H7" s="708"/>
      <c r="I7" s="708"/>
      <c r="J7" s="708"/>
      <c r="K7" s="708"/>
    </row>
    <row r="8" spans="2:19" ht="2.25" customHeight="1" x14ac:dyDescent="0.3">
      <c r="B8" s="709"/>
      <c r="C8" s="709"/>
      <c r="D8" s="709"/>
      <c r="E8" s="709"/>
      <c r="F8" s="709"/>
      <c r="G8" s="709"/>
      <c r="H8" s="709"/>
      <c r="I8" s="709"/>
      <c r="J8" s="709"/>
      <c r="K8" s="709"/>
    </row>
    <row r="9" spans="2:19" s="240" customFormat="1" ht="15.6" x14ac:dyDescent="0.2">
      <c r="B9" s="598"/>
      <c r="C9" s="598"/>
      <c r="D9" s="598"/>
      <c r="E9" s="707"/>
      <c r="F9" s="707"/>
      <c r="G9" s="707"/>
      <c r="H9" s="707"/>
      <c r="I9" s="707"/>
      <c r="J9" s="707"/>
      <c r="K9" s="707"/>
    </row>
    <row r="10" spans="2:19" ht="41.4" x14ac:dyDescent="0.3">
      <c r="B10" s="241" t="s">
        <v>662</v>
      </c>
      <c r="C10" s="241"/>
      <c r="D10" s="241"/>
      <c r="E10" s="242" t="s">
        <v>663</v>
      </c>
      <c r="F10" s="242"/>
      <c r="G10" s="242" t="s">
        <v>664</v>
      </c>
      <c r="H10" s="242"/>
      <c r="I10" s="242" t="s">
        <v>665</v>
      </c>
      <c r="J10" s="242"/>
      <c r="K10" s="243" t="s">
        <v>666</v>
      </c>
    </row>
    <row r="11" spans="2:19" ht="15" customHeight="1" thickBot="1" x14ac:dyDescent="0.35">
      <c r="B11" s="244"/>
      <c r="C11" s="244"/>
      <c r="D11" s="244"/>
      <c r="K11" s="245"/>
    </row>
    <row r="12" spans="2:19" ht="15" customHeight="1" thickBot="1" x14ac:dyDescent="0.35">
      <c r="B12" s="246" t="s">
        <v>180</v>
      </c>
      <c r="C12" s="247" t="s">
        <v>667</v>
      </c>
      <c r="D12" s="247"/>
      <c r="E12" s="255">
        <f>'YEAR 2'!AW67</f>
        <v>0</v>
      </c>
      <c r="F12" s="256"/>
      <c r="G12" s="255">
        <f>'YEAR 2'!AY67</f>
        <v>0</v>
      </c>
      <c r="H12" s="256"/>
      <c r="I12" s="264">
        <v>0</v>
      </c>
      <c r="J12" s="256"/>
      <c r="K12" s="257">
        <f>ROUND(E12+G12+I12,0)</f>
        <v>0</v>
      </c>
      <c r="L12" s="248"/>
      <c r="M12" s="237">
        <f>ROUND('YEAR 2'!BA67,0)</f>
        <v>0</v>
      </c>
    </row>
    <row r="13" spans="2:19" ht="4.5" customHeight="1" thickBot="1" x14ac:dyDescent="0.35">
      <c r="B13" s="244"/>
      <c r="C13" s="244"/>
      <c r="D13" s="244"/>
      <c r="E13" s="256"/>
      <c r="F13" s="256"/>
      <c r="G13" s="256"/>
      <c r="H13" s="256"/>
      <c r="I13" s="256"/>
      <c r="J13" s="256"/>
      <c r="K13" s="258"/>
    </row>
    <row r="14" spans="2:19" ht="15" customHeight="1" thickBot="1" x14ac:dyDescent="0.35">
      <c r="B14" s="246" t="s">
        <v>182</v>
      </c>
      <c r="C14" s="249" t="s">
        <v>668</v>
      </c>
      <c r="D14" s="249"/>
      <c r="E14" s="255">
        <f>'YEAR 2'!BC67</f>
        <v>0</v>
      </c>
      <c r="F14" s="256"/>
      <c r="G14" s="255">
        <f>'YEAR 2'!BE67</f>
        <v>0</v>
      </c>
      <c r="H14" s="256"/>
      <c r="I14" s="264">
        <v>0</v>
      </c>
      <c r="J14" s="256"/>
      <c r="K14" s="257">
        <f>ROUND(E14+G14+I14,0)</f>
        <v>0</v>
      </c>
      <c r="M14" s="237">
        <f>ROUND('YEAR 2'!BG67,0)</f>
        <v>0</v>
      </c>
    </row>
    <row r="15" spans="2:19" ht="4.5" customHeight="1" thickBot="1" x14ac:dyDescent="0.35">
      <c r="B15" s="244"/>
      <c r="C15" s="244"/>
      <c r="D15" s="244"/>
      <c r="E15" s="256"/>
      <c r="F15" s="256"/>
      <c r="G15" s="256"/>
      <c r="H15" s="256"/>
      <c r="I15" s="256"/>
      <c r="J15" s="256"/>
      <c r="K15" s="258"/>
    </row>
    <row r="16" spans="2:19" ht="15" customHeight="1" thickBot="1" x14ac:dyDescent="0.35">
      <c r="B16" s="246" t="s">
        <v>184</v>
      </c>
      <c r="C16" s="247" t="s">
        <v>669</v>
      </c>
      <c r="D16" s="247"/>
      <c r="E16" s="255">
        <f>'YEAR 2'!P103</f>
        <v>0</v>
      </c>
      <c r="F16" s="256"/>
      <c r="G16" s="255">
        <f>'YEAR 2'!AC103</f>
        <v>0</v>
      </c>
      <c r="H16" s="256"/>
      <c r="I16" s="264">
        <v>0</v>
      </c>
      <c r="J16" s="256"/>
      <c r="K16" s="257">
        <f>ROUND(E16+G16+I16,0)</f>
        <v>0</v>
      </c>
      <c r="M16" s="237">
        <f>ROUND('YEAR 2'!AP103,0)</f>
        <v>0</v>
      </c>
    </row>
    <row r="17" spans="2:14" ht="4.5" customHeight="1" thickBot="1" x14ac:dyDescent="0.35">
      <c r="B17" s="244"/>
      <c r="C17" s="244"/>
      <c r="D17" s="244"/>
      <c r="E17" s="256"/>
      <c r="F17" s="256"/>
      <c r="G17" s="256"/>
      <c r="H17" s="256"/>
      <c r="I17" s="256"/>
      <c r="J17" s="256"/>
      <c r="K17" s="258"/>
    </row>
    <row r="18" spans="2:14" ht="15" customHeight="1" thickBot="1" x14ac:dyDescent="0.35">
      <c r="B18" s="246" t="s">
        <v>670</v>
      </c>
      <c r="C18" s="247" t="s">
        <v>671</v>
      </c>
      <c r="D18" s="247"/>
      <c r="E18" s="255">
        <f>'YEAR 2'!P76</f>
        <v>0</v>
      </c>
      <c r="F18" s="256"/>
      <c r="G18" s="255">
        <f>'YEAR 2'!AC76</f>
        <v>0</v>
      </c>
      <c r="H18" s="256"/>
      <c r="I18" s="264">
        <v>0</v>
      </c>
      <c r="J18" s="256"/>
      <c r="K18" s="257">
        <f>ROUND(E18+G18+I18,0)</f>
        <v>0</v>
      </c>
      <c r="M18" s="237">
        <f>ROUND('YEAR 2'!AP76,0)</f>
        <v>0</v>
      </c>
    </row>
    <row r="19" spans="2:14" ht="4.5" customHeight="1" thickBot="1" x14ac:dyDescent="0.35">
      <c r="B19" s="244"/>
      <c r="C19" s="244"/>
      <c r="D19" s="244"/>
      <c r="E19" s="256"/>
      <c r="F19" s="256"/>
      <c r="G19" s="256"/>
      <c r="H19" s="256"/>
      <c r="I19" s="256"/>
      <c r="J19" s="256"/>
      <c r="K19" s="258"/>
    </row>
    <row r="20" spans="2:14" ht="15" customHeight="1" thickBot="1" x14ac:dyDescent="0.35">
      <c r="B20" s="246" t="s">
        <v>672</v>
      </c>
      <c r="C20" s="247" t="s">
        <v>673</v>
      </c>
      <c r="D20" s="247"/>
      <c r="E20" s="255">
        <f>'YEAR 2'!P166</f>
        <v>0</v>
      </c>
      <c r="F20" s="256"/>
      <c r="G20" s="255">
        <f>'YEAR 2'!AC166</f>
        <v>0</v>
      </c>
      <c r="H20" s="256"/>
      <c r="I20" s="264">
        <v>0</v>
      </c>
      <c r="J20" s="256"/>
      <c r="K20" s="257">
        <f>ROUND(E20+G20+I20,0)</f>
        <v>0</v>
      </c>
    </row>
    <row r="21" spans="2:14" ht="4.5" customHeight="1" thickBot="1" x14ac:dyDescent="0.35">
      <c r="B21" s="244"/>
      <c r="C21" s="244"/>
      <c r="D21" s="244"/>
      <c r="E21" s="256"/>
      <c r="F21" s="256"/>
      <c r="G21" s="256"/>
      <c r="H21" s="256"/>
      <c r="I21" s="256"/>
      <c r="J21" s="256"/>
      <c r="K21" s="258"/>
    </row>
    <row r="22" spans="2:14" ht="15" customHeight="1" thickBot="1" x14ac:dyDescent="0.35">
      <c r="B22" s="246" t="s">
        <v>674</v>
      </c>
      <c r="C22" s="247" t="s">
        <v>675</v>
      </c>
      <c r="D22" s="247"/>
      <c r="E22" s="255">
        <f>'YEAR 2'!P184+'YEAR 2'!P202</f>
        <v>0</v>
      </c>
      <c r="F22" s="256"/>
      <c r="G22" s="255">
        <f>'YEAR 2'!AC184+'YEAR 2'!AC202</f>
        <v>0</v>
      </c>
      <c r="H22" s="256"/>
      <c r="I22" s="264">
        <v>0</v>
      </c>
      <c r="J22" s="256"/>
      <c r="K22" s="257">
        <f>ROUND(E22+G22+I22,0)</f>
        <v>0</v>
      </c>
    </row>
    <row r="23" spans="2:14" ht="4.5" customHeight="1" thickBot="1" x14ac:dyDescent="0.35">
      <c r="E23" s="256"/>
      <c r="F23" s="256"/>
      <c r="G23" s="256"/>
      <c r="H23" s="256"/>
      <c r="I23" s="256"/>
      <c r="J23" s="256"/>
      <c r="K23" s="258"/>
    </row>
    <row r="24" spans="2:14" ht="14.4" thickBot="1" x14ac:dyDescent="0.35">
      <c r="B24" s="246" t="s">
        <v>676</v>
      </c>
      <c r="C24" s="247" t="s">
        <v>677</v>
      </c>
      <c r="D24" s="247"/>
      <c r="E24" s="255">
        <f>'YEAR 2'!P220</f>
        <v>0</v>
      </c>
      <c r="F24" s="256"/>
      <c r="G24" s="255">
        <f>'YEAR 2'!AC220</f>
        <v>0</v>
      </c>
      <c r="H24" s="256"/>
      <c r="I24" s="264">
        <v>0</v>
      </c>
      <c r="J24" s="256"/>
      <c r="K24" s="257">
        <f>ROUND(E24+G24+I24,0)</f>
        <v>0</v>
      </c>
    </row>
    <row r="25" spans="2:14" ht="4.5" customHeight="1" thickBot="1" x14ac:dyDescent="0.35">
      <c r="B25" s="244"/>
      <c r="E25" s="256"/>
      <c r="F25" s="256"/>
      <c r="G25" s="256"/>
      <c r="H25" s="256"/>
      <c r="I25" s="256"/>
      <c r="J25" s="256"/>
      <c r="K25" s="258"/>
    </row>
    <row r="26" spans="2:14" ht="14.4" thickBot="1" x14ac:dyDescent="0.35">
      <c r="B26" s="246" t="s">
        <v>678</v>
      </c>
      <c r="C26" s="247" t="s">
        <v>679</v>
      </c>
      <c r="D26" s="247"/>
      <c r="E26" s="265">
        <f>'YEAR 2'!P151+'YEAR 2'!P175+'YEAR 2'!P193+'YEAR 2'!P211+'YEAR 2'!P231</f>
        <v>0</v>
      </c>
      <c r="F26" s="256"/>
      <c r="G26" s="255">
        <f>'YEAR 2'!AC151+'YEAR 2'!AC175+'YEAR 2'!AC193+'YEAR 2'!AC231</f>
        <v>0</v>
      </c>
      <c r="H26" s="256"/>
      <c r="I26" s="264">
        <v>0</v>
      </c>
      <c r="J26" s="256"/>
      <c r="K26" s="257">
        <f>ROUND(E26+G26+I26,0)</f>
        <v>0</v>
      </c>
    </row>
    <row r="27" spans="2:14" ht="4.5" customHeight="1" thickBot="1" x14ac:dyDescent="0.35">
      <c r="B27" s="244"/>
      <c r="E27" s="256"/>
      <c r="F27" s="256"/>
      <c r="G27" s="256"/>
      <c r="H27" s="256"/>
      <c r="I27" s="256"/>
      <c r="J27" s="256"/>
      <c r="K27" s="258"/>
    </row>
    <row r="28" spans="2:14" ht="14.4" thickBot="1" x14ac:dyDescent="0.35">
      <c r="B28" s="246" t="s">
        <v>680</v>
      </c>
      <c r="C28" s="247" t="s">
        <v>681</v>
      </c>
      <c r="D28" s="247"/>
      <c r="E28" s="255">
        <f>ROUND(SUM(E11:E27),0)</f>
        <v>0</v>
      </c>
      <c r="F28" s="256"/>
      <c r="G28" s="255">
        <f>ROUND(SUM(G11:G27),0)</f>
        <v>0</v>
      </c>
      <c r="H28" s="256"/>
      <c r="I28" s="255">
        <f>ROUND(SUM(I11:I27),0)</f>
        <v>0</v>
      </c>
      <c r="J28" s="256"/>
      <c r="K28" s="257">
        <f>ROUND(E28+G28+I28,0)</f>
        <v>0</v>
      </c>
      <c r="M28" s="250">
        <f>ROUND(SUM(K12:K26),0)</f>
        <v>0</v>
      </c>
      <c r="N28" s="237">
        <f>IF(M28&lt;&gt;K28,1,0)</f>
        <v>0</v>
      </c>
    </row>
    <row r="29" spans="2:14" ht="4.5" customHeight="1" thickBot="1" x14ac:dyDescent="0.35">
      <c r="B29" s="244"/>
      <c r="E29" s="256"/>
      <c r="F29" s="256"/>
      <c r="G29" s="256"/>
      <c r="H29" s="256"/>
      <c r="I29" s="256"/>
      <c r="J29" s="256"/>
      <c r="K29" s="258"/>
    </row>
    <row r="30" spans="2:14" ht="14.4" thickBot="1" x14ac:dyDescent="0.35">
      <c r="B30" s="246" t="s">
        <v>682</v>
      </c>
      <c r="C30" s="247" t="s">
        <v>683</v>
      </c>
      <c r="D30" s="247"/>
      <c r="E30" s="255">
        <f>E42</f>
        <v>0</v>
      </c>
      <c r="F30" s="256"/>
      <c r="G30" s="255">
        <f>G40</f>
        <v>0</v>
      </c>
      <c r="H30" s="256"/>
      <c r="I30" s="255">
        <f>ROUND(I42,0)</f>
        <v>0</v>
      </c>
      <c r="J30" s="256"/>
      <c r="K30" s="257">
        <f>ROUND(E30+G30+I30,0)</f>
        <v>0</v>
      </c>
    </row>
    <row r="31" spans="2:14" ht="5.25" customHeight="1" x14ac:dyDescent="0.3">
      <c r="B31" s="246"/>
      <c r="C31" s="247"/>
      <c r="D31" s="247"/>
      <c r="E31" s="256"/>
      <c r="F31" s="256"/>
      <c r="G31" s="256"/>
      <c r="H31" s="256"/>
      <c r="I31" s="256"/>
      <c r="J31" s="256"/>
      <c r="K31" s="258"/>
    </row>
    <row r="32" spans="2:14" x14ac:dyDescent="0.3">
      <c r="B32" s="244"/>
      <c r="C32" s="251" t="s">
        <v>684</v>
      </c>
      <c r="E32" s="259"/>
      <c r="F32" s="259"/>
      <c r="G32" s="259"/>
      <c r="H32" s="259"/>
      <c r="I32" s="259"/>
      <c r="J32" s="259"/>
      <c r="K32" s="258"/>
    </row>
    <row r="33" spans="2:11" x14ac:dyDescent="0.3">
      <c r="B33" s="244"/>
      <c r="D33" s="237" t="s">
        <v>685</v>
      </c>
      <c r="E33" s="260">
        <f>'YEAR 2'!P240</f>
        <v>0</v>
      </c>
      <c r="F33" s="259"/>
      <c r="G33" s="260">
        <f>'YEAR 2'!AC240</f>
        <v>0</v>
      </c>
      <c r="H33" s="259"/>
      <c r="I33" s="256">
        <v>0</v>
      </c>
      <c r="J33" s="259"/>
      <c r="K33" s="258"/>
    </row>
    <row r="34" spans="2:11" x14ac:dyDescent="0.3">
      <c r="B34" s="244"/>
      <c r="D34" s="237" t="s">
        <v>686</v>
      </c>
      <c r="E34" s="261">
        <f>'YEAR 2'!P241</f>
        <v>0</v>
      </c>
      <c r="F34" s="259"/>
      <c r="G34" s="261">
        <f>'YEAR 2'!AC241</f>
        <v>0</v>
      </c>
      <c r="H34" s="259"/>
      <c r="I34" s="262">
        <v>0</v>
      </c>
      <c r="J34" s="259"/>
      <c r="K34" s="258"/>
    </row>
    <row r="35" spans="2:11" ht="4.5" customHeight="1" x14ac:dyDescent="0.3">
      <c r="B35" s="244"/>
      <c r="E35" s="259"/>
      <c r="F35" s="259"/>
      <c r="G35" s="259"/>
      <c r="H35" s="259"/>
      <c r="I35" s="256"/>
      <c r="J35" s="259"/>
      <c r="K35" s="258"/>
    </row>
    <row r="36" spans="2:11" x14ac:dyDescent="0.3">
      <c r="B36" s="244"/>
      <c r="C36" s="237" t="s">
        <v>687</v>
      </c>
      <c r="E36" s="260">
        <f>'YEAR 2'!P243</f>
        <v>0</v>
      </c>
      <c r="F36" s="259"/>
      <c r="G36" s="260">
        <f>'YEAR 2'!AC243</f>
        <v>0</v>
      </c>
      <c r="H36" s="259"/>
      <c r="I36" s="256">
        <v>0</v>
      </c>
      <c r="J36" s="259"/>
      <c r="K36" s="258"/>
    </row>
    <row r="37" spans="2:11" ht="4.5" customHeight="1" x14ac:dyDescent="0.3">
      <c r="B37" s="244"/>
      <c r="E37" s="259"/>
      <c r="F37" s="259"/>
      <c r="G37" s="259"/>
      <c r="H37" s="259"/>
      <c r="I37" s="256"/>
      <c r="J37" s="259"/>
      <c r="K37" s="258"/>
    </row>
    <row r="38" spans="2:11" x14ac:dyDescent="0.3">
      <c r="B38" s="244"/>
      <c r="D38" s="237" t="str">
        <f>'YEAR 2'!C245</f>
        <v>SDSM&amp;T  Indirect  @ 42.0%</v>
      </c>
      <c r="E38" s="260">
        <f>'YEAR 2'!P245</f>
        <v>0</v>
      </c>
      <c r="F38" s="263"/>
      <c r="G38" s="260">
        <f>'YEAR 2'!AC245</f>
        <v>0</v>
      </c>
      <c r="H38" s="263"/>
      <c r="I38" s="256">
        <v>0</v>
      </c>
      <c r="J38" s="263"/>
      <c r="K38" s="258"/>
    </row>
    <row r="39" spans="2:11" ht="3.75" customHeight="1" x14ac:dyDescent="0.3">
      <c r="B39" s="244"/>
      <c r="E39" s="259"/>
      <c r="F39" s="259"/>
      <c r="G39" s="259"/>
      <c r="H39" s="259"/>
      <c r="I39" s="256"/>
      <c r="J39" s="259"/>
      <c r="K39" s="258"/>
    </row>
    <row r="40" spans="2:11" x14ac:dyDescent="0.3">
      <c r="B40" s="244"/>
      <c r="D40" s="237" t="str">
        <f>'YEAR 2'!D247</f>
        <v>SDSM&amp;T Unrecovered Indirect @ 0.0%</v>
      </c>
      <c r="E40" s="261">
        <f>'YEAR 2'!P247</f>
        <v>0</v>
      </c>
      <c r="F40" s="263"/>
      <c r="G40" s="261">
        <f>'YEAR 2'!AC247</f>
        <v>0</v>
      </c>
      <c r="H40" s="263"/>
      <c r="I40" s="262">
        <v>0</v>
      </c>
      <c r="J40" s="263"/>
      <c r="K40" s="258"/>
    </row>
    <row r="41" spans="2:11" ht="3.75" customHeight="1" x14ac:dyDescent="0.3">
      <c r="B41" s="244"/>
      <c r="E41" s="259"/>
      <c r="F41" s="259"/>
      <c r="G41" s="259"/>
      <c r="H41" s="259"/>
      <c r="I41" s="256"/>
      <c r="J41" s="259"/>
      <c r="K41" s="258"/>
    </row>
    <row r="42" spans="2:11" x14ac:dyDescent="0.3">
      <c r="B42" s="244"/>
      <c r="D42" s="237" t="str">
        <f>'YEAR 2'!C249</f>
        <v>SDSM&amp;T Indirect Recovered @ 42.0%</v>
      </c>
      <c r="E42" s="260">
        <f>'YEAR 2'!P249</f>
        <v>0</v>
      </c>
      <c r="F42" s="263"/>
      <c r="G42" s="260">
        <f>'YEAR 2'!AC251</f>
        <v>0</v>
      </c>
      <c r="H42" s="263"/>
      <c r="I42" s="256">
        <v>0</v>
      </c>
      <c r="J42" s="263"/>
      <c r="K42" s="258"/>
    </row>
    <row r="43" spans="2:11" ht="4.5" customHeight="1" thickBot="1" x14ac:dyDescent="0.35">
      <c r="B43" s="244"/>
      <c r="E43" s="259"/>
      <c r="F43" s="259"/>
      <c r="G43" s="259"/>
      <c r="H43" s="259"/>
      <c r="I43" s="259"/>
      <c r="J43" s="259"/>
      <c r="K43" s="258"/>
    </row>
    <row r="44" spans="2:11" ht="14.4" thickBot="1" x14ac:dyDescent="0.35">
      <c r="B44" s="246" t="s">
        <v>688</v>
      </c>
      <c r="C44" s="247" t="s">
        <v>689</v>
      </c>
      <c r="D44" s="247"/>
      <c r="E44" s="257">
        <f>ROUND(E42+E28,0)</f>
        <v>0</v>
      </c>
      <c r="F44" s="258"/>
      <c r="G44" s="257">
        <f>ROUND(G42+G28,0)</f>
        <v>0</v>
      </c>
      <c r="H44" s="258"/>
      <c r="I44" s="257">
        <f>ROUND(I42+I28,0)</f>
        <v>0</v>
      </c>
      <c r="J44" s="258"/>
      <c r="K44" s="257">
        <f>E44+G44+I44</f>
        <v>0</v>
      </c>
    </row>
    <row r="46" spans="2:11" x14ac:dyDescent="0.3">
      <c r="B46" s="252" t="s">
        <v>690</v>
      </c>
      <c r="C46" s="237" t="s">
        <v>691</v>
      </c>
    </row>
    <row r="55" spans="1:15" s="253" customFormat="1" x14ac:dyDescent="0.3">
      <c r="A55" s="253" t="s">
        <v>692</v>
      </c>
      <c r="E55" s="254"/>
      <c r="F55" s="254"/>
      <c r="G55" s="254"/>
      <c r="H55" s="254"/>
      <c r="I55" s="254"/>
      <c r="J55" s="254"/>
      <c r="K55" s="254"/>
      <c r="L55" s="253" t="s">
        <v>839</v>
      </c>
    </row>
    <row r="57" spans="1:15" x14ac:dyDescent="0.3">
      <c r="A57" s="252" t="s">
        <v>694</v>
      </c>
      <c r="B57" s="237" t="s">
        <v>695</v>
      </c>
      <c r="L57" s="237" t="s">
        <v>694</v>
      </c>
      <c r="M57" s="237" t="s">
        <v>695</v>
      </c>
      <c r="O57" s="237" t="s">
        <v>696</v>
      </c>
    </row>
    <row r="58" spans="1:15" x14ac:dyDescent="0.3">
      <c r="A58" s="252" t="s">
        <v>697</v>
      </c>
      <c r="B58" s="237" t="s">
        <v>698</v>
      </c>
      <c r="L58" s="237" t="s">
        <v>697</v>
      </c>
      <c r="M58" s="237" t="s">
        <v>698</v>
      </c>
      <c r="O58" s="237" t="s">
        <v>696</v>
      </c>
    </row>
    <row r="59" spans="1:15" x14ac:dyDescent="0.3">
      <c r="A59" s="252"/>
      <c r="B59" s="237">
        <v>1</v>
      </c>
      <c r="C59" s="237" t="s">
        <v>699</v>
      </c>
      <c r="L59" s="237" t="s">
        <v>700</v>
      </c>
      <c r="M59" s="237" t="s">
        <v>671</v>
      </c>
    </row>
    <row r="60" spans="1:15" x14ac:dyDescent="0.3">
      <c r="A60" s="252"/>
      <c r="B60" s="237">
        <v>2</v>
      </c>
      <c r="C60" s="237" t="s">
        <v>701</v>
      </c>
      <c r="L60" s="237" t="s">
        <v>702</v>
      </c>
      <c r="M60" s="237" t="s">
        <v>703</v>
      </c>
    </row>
    <row r="61" spans="1:15" x14ac:dyDescent="0.3">
      <c r="A61" s="252"/>
      <c r="B61" s="237">
        <v>3</v>
      </c>
      <c r="C61" s="237" t="s">
        <v>704</v>
      </c>
      <c r="L61" s="237">
        <v>1</v>
      </c>
      <c r="M61" s="237" t="s">
        <v>705</v>
      </c>
    </row>
    <row r="62" spans="1:15" x14ac:dyDescent="0.3">
      <c r="A62" s="252"/>
      <c r="B62" s="237">
        <v>4</v>
      </c>
      <c r="C62" s="237" t="s">
        <v>706</v>
      </c>
      <c r="L62" s="237">
        <v>2</v>
      </c>
      <c r="M62" s="237" t="s">
        <v>707</v>
      </c>
    </row>
    <row r="63" spans="1:15" x14ac:dyDescent="0.3">
      <c r="A63" s="252"/>
      <c r="B63" s="237">
        <v>5</v>
      </c>
      <c r="C63" s="237" t="s">
        <v>708</v>
      </c>
      <c r="L63" s="237" t="s">
        <v>709</v>
      </c>
      <c r="M63" s="237" t="s">
        <v>710</v>
      </c>
    </row>
    <row r="64" spans="1:15" x14ac:dyDescent="0.3">
      <c r="A64" s="252"/>
      <c r="B64" s="237">
        <v>6</v>
      </c>
      <c r="C64" s="237" t="s">
        <v>679</v>
      </c>
      <c r="L64" s="237">
        <v>1</v>
      </c>
      <c r="M64" s="237" t="s">
        <v>711</v>
      </c>
    </row>
    <row r="65" spans="1:13" x14ac:dyDescent="0.3">
      <c r="A65" s="252" t="s">
        <v>700</v>
      </c>
      <c r="B65" s="237" t="s">
        <v>712</v>
      </c>
      <c r="L65" s="237">
        <v>2</v>
      </c>
      <c r="M65" s="237" t="s">
        <v>713</v>
      </c>
    </row>
    <row r="66" spans="1:13" x14ac:dyDescent="0.3">
      <c r="A66" s="252" t="s">
        <v>702</v>
      </c>
      <c r="B66" s="237" t="s">
        <v>671</v>
      </c>
      <c r="L66" s="237">
        <v>3</v>
      </c>
      <c r="M66" s="237" t="s">
        <v>703</v>
      </c>
    </row>
    <row r="67" spans="1:13" x14ac:dyDescent="0.3">
      <c r="A67" s="252" t="s">
        <v>709</v>
      </c>
      <c r="B67" s="237" t="s">
        <v>703</v>
      </c>
      <c r="L67" s="237">
        <v>4</v>
      </c>
      <c r="M67" s="237" t="s">
        <v>714</v>
      </c>
    </row>
    <row r="68" spans="1:13" x14ac:dyDescent="0.3">
      <c r="A68" s="252"/>
      <c r="B68" s="237">
        <v>1</v>
      </c>
      <c r="C68" s="237" t="s">
        <v>715</v>
      </c>
      <c r="L68" s="237">
        <v>5</v>
      </c>
      <c r="M68" s="237" t="s">
        <v>679</v>
      </c>
    </row>
    <row r="69" spans="1:13" x14ac:dyDescent="0.3">
      <c r="A69" s="252"/>
      <c r="B69" s="237">
        <v>2</v>
      </c>
      <c r="C69" s="237" t="s">
        <v>716</v>
      </c>
      <c r="L69" s="237" t="s">
        <v>717</v>
      </c>
      <c r="M69" s="237" t="s">
        <v>718</v>
      </c>
    </row>
    <row r="70" spans="1:13" x14ac:dyDescent="0.3">
      <c r="A70" s="252" t="s">
        <v>717</v>
      </c>
      <c r="B70" s="237" t="s">
        <v>719</v>
      </c>
      <c r="L70" s="237">
        <v>1</v>
      </c>
      <c r="M70" s="237" t="s">
        <v>720</v>
      </c>
    </row>
    <row r="71" spans="1:13" x14ac:dyDescent="0.3">
      <c r="A71" s="252"/>
      <c r="B71" s="237">
        <v>1</v>
      </c>
      <c r="C71" s="237" t="s">
        <v>713</v>
      </c>
      <c r="L71" s="237">
        <v>2</v>
      </c>
      <c r="M71" s="237" t="s">
        <v>721</v>
      </c>
    </row>
    <row r="72" spans="1:13" x14ac:dyDescent="0.3">
      <c r="A72" s="252"/>
      <c r="B72" s="237">
        <v>2</v>
      </c>
      <c r="C72" s="237" t="s">
        <v>703</v>
      </c>
      <c r="L72" s="237">
        <v>3</v>
      </c>
      <c r="M72" s="237" t="s">
        <v>722</v>
      </c>
    </row>
    <row r="73" spans="1:13" x14ac:dyDescent="0.3">
      <c r="A73" s="252"/>
      <c r="B73" s="237">
        <v>3</v>
      </c>
      <c r="C73" s="237" t="s">
        <v>714</v>
      </c>
      <c r="L73" s="237">
        <v>4</v>
      </c>
      <c r="M73" s="237" t="s">
        <v>723</v>
      </c>
    </row>
    <row r="74" spans="1:13" x14ac:dyDescent="0.3">
      <c r="A74" s="252"/>
      <c r="B74" s="237">
        <v>4</v>
      </c>
      <c r="C74" s="237" t="s">
        <v>679</v>
      </c>
      <c r="L74" s="237">
        <v>5</v>
      </c>
      <c r="M74" s="237" t="s">
        <v>724</v>
      </c>
    </row>
    <row r="75" spans="1:13" x14ac:dyDescent="0.3">
      <c r="A75" s="252" t="s">
        <v>725</v>
      </c>
      <c r="B75" s="237" t="s">
        <v>718</v>
      </c>
      <c r="L75" s="237">
        <v>6</v>
      </c>
      <c r="M75" s="237" t="s">
        <v>726</v>
      </c>
    </row>
    <row r="76" spans="1:13" x14ac:dyDescent="0.3">
      <c r="A76" s="252"/>
      <c r="B76" s="237">
        <v>1</v>
      </c>
      <c r="C76" s="237" t="s">
        <v>720</v>
      </c>
      <c r="L76" s="237">
        <v>7</v>
      </c>
      <c r="M76" s="237" t="s">
        <v>727</v>
      </c>
    </row>
    <row r="77" spans="1:13" x14ac:dyDescent="0.3">
      <c r="A77" s="252"/>
      <c r="B77" s="237">
        <v>2</v>
      </c>
      <c r="C77" s="237" t="s">
        <v>728</v>
      </c>
      <c r="L77" s="237">
        <v>8</v>
      </c>
      <c r="M77" s="237" t="s">
        <v>679</v>
      </c>
    </row>
    <row r="78" spans="1:13" x14ac:dyDescent="0.3">
      <c r="A78" s="252"/>
      <c r="B78" s="237">
        <v>3</v>
      </c>
      <c r="C78" s="237" t="s">
        <v>722</v>
      </c>
      <c r="L78" s="237" t="s">
        <v>725</v>
      </c>
      <c r="M78" s="237" t="s">
        <v>729</v>
      </c>
    </row>
    <row r="79" spans="1:13" x14ac:dyDescent="0.3">
      <c r="A79" s="252"/>
      <c r="B79" s="237">
        <v>4</v>
      </c>
      <c r="C79" s="237" t="s">
        <v>730</v>
      </c>
      <c r="L79" s="237" t="s">
        <v>731</v>
      </c>
      <c r="M79" s="237" t="s">
        <v>683</v>
      </c>
    </row>
    <row r="80" spans="1:13" x14ac:dyDescent="0.3">
      <c r="A80" s="252"/>
      <c r="B80" s="237">
        <v>5</v>
      </c>
      <c r="C80" s="237" t="s">
        <v>732</v>
      </c>
      <c r="L80" s="237" t="s">
        <v>733</v>
      </c>
      <c r="M80" s="237" t="s">
        <v>734</v>
      </c>
    </row>
    <row r="81" spans="1:13" x14ac:dyDescent="0.3">
      <c r="A81" s="252"/>
      <c r="B81" s="237">
        <v>6</v>
      </c>
      <c r="C81" s="237" t="s">
        <v>679</v>
      </c>
      <c r="L81" s="237" t="s">
        <v>735</v>
      </c>
      <c r="M81" s="237" t="s">
        <v>736</v>
      </c>
    </row>
    <row r="82" spans="1:13" x14ac:dyDescent="0.3">
      <c r="A82" s="252" t="s">
        <v>731</v>
      </c>
      <c r="B82" s="237" t="s">
        <v>685</v>
      </c>
      <c r="L82" s="237" t="s">
        <v>737</v>
      </c>
      <c r="M82" s="237" t="s">
        <v>738</v>
      </c>
    </row>
    <row r="83" spans="1:13" x14ac:dyDescent="0.3">
      <c r="A83" s="252" t="s">
        <v>733</v>
      </c>
      <c r="B83" s="237" t="s">
        <v>683</v>
      </c>
    </row>
    <row r="84" spans="1:13" x14ac:dyDescent="0.3">
      <c r="A84" s="252" t="s">
        <v>739</v>
      </c>
      <c r="B84" s="237" t="s">
        <v>740</v>
      </c>
    </row>
    <row r="85" spans="1:13" x14ac:dyDescent="0.3">
      <c r="A85" s="252" t="s">
        <v>737</v>
      </c>
      <c r="B85" s="237" t="s">
        <v>741</v>
      </c>
    </row>
    <row r="86" spans="1:13" x14ac:dyDescent="0.3">
      <c r="A86" s="252" t="s">
        <v>742</v>
      </c>
      <c r="B86" s="237" t="s">
        <v>743</v>
      </c>
    </row>
    <row r="87" spans="1:13" x14ac:dyDescent="0.3">
      <c r="A87" s="252" t="s">
        <v>744</v>
      </c>
      <c r="B87" s="237" t="s">
        <v>745</v>
      </c>
    </row>
  </sheetData>
  <mergeCells count="8">
    <mergeCell ref="B8:K8"/>
    <mergeCell ref="E9:K9"/>
    <mergeCell ref="C1:L1"/>
    <mergeCell ref="C2:L2"/>
    <mergeCell ref="C3:K3"/>
    <mergeCell ref="B5:K5"/>
    <mergeCell ref="B6:K6"/>
    <mergeCell ref="B7:K7"/>
  </mergeCells>
  <conditionalFormatting sqref="M28">
    <cfRule type="expression" dxfId="407"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2:BP260"/>
  <sheetViews>
    <sheetView zoomScaleNormal="100" workbookViewId="0">
      <selection activeCell="D209" sqref="D209"/>
    </sheetView>
  </sheetViews>
  <sheetFormatPr defaultColWidth="11" defaultRowHeight="13.8" x14ac:dyDescent="0.3"/>
  <cols>
    <col min="1" max="1" width="2.6640625" style="106" bestFit="1" customWidth="1"/>
    <col min="2" max="2" width="3.77734375" style="106" customWidth="1"/>
    <col min="3" max="3" width="7.33203125" style="106" customWidth="1"/>
    <col min="4" max="4" width="29.44140625" style="106" customWidth="1"/>
    <col min="5" max="5" width="0.88671875" style="106" customWidth="1"/>
    <col min="6" max="6" width="8.88671875" style="107" customWidth="1"/>
    <col min="7" max="7" width="0.44140625" style="107" customWidth="1"/>
    <col min="8" max="8" width="5.21875" style="106" customWidth="1"/>
    <col min="9" max="9" width="0.88671875" style="106" customWidth="1"/>
    <col min="10" max="10" width="7.109375" style="106" customWidth="1"/>
    <col min="11" max="11" width="0.44140625" style="106" customWidth="1"/>
    <col min="12" max="12" width="4.21875" style="106" customWidth="1"/>
    <col min="13" max="13" width="1" style="106" customWidth="1"/>
    <col min="14" max="14" width="6.21875" style="106" customWidth="1"/>
    <col min="15" max="15" width="2" style="106" customWidth="1"/>
    <col min="16" max="16" width="3.33203125" style="107" customWidth="1"/>
    <col min="17" max="17" width="7.88671875" style="107" customWidth="1"/>
    <col min="18" max="18" width="1" style="106" customWidth="1"/>
    <col min="19" max="20" width="1" style="106" hidden="1" customWidth="1"/>
    <col min="21" max="21" width="4.44140625" style="106" hidden="1" customWidth="1"/>
    <col min="22" max="22" width="0.88671875" style="106" hidden="1" customWidth="1"/>
    <col min="23" max="23" width="5.109375" style="106" hidden="1" customWidth="1"/>
    <col min="24" max="24" width="0.44140625" style="106" hidden="1" customWidth="1"/>
    <col min="25" max="25" width="4.44140625" style="106" hidden="1" customWidth="1"/>
    <col min="26" max="26" width="1" style="106" hidden="1" customWidth="1"/>
    <col min="27" max="27" width="6.21875" style="106" hidden="1" customWidth="1"/>
    <col min="28" max="28" width="1.33203125" style="106" hidden="1" customWidth="1"/>
    <col min="29" max="29" width="3.33203125" style="107" hidden="1" customWidth="1"/>
    <col min="30" max="30" width="7.88671875" style="180" hidden="1" customWidth="1"/>
    <col min="31" max="33" width="1" style="106" hidden="1" customWidth="1"/>
    <col min="34" max="34" width="8.21875" style="106" hidden="1" customWidth="1"/>
    <col min="35" max="35" width="0.88671875" style="106" hidden="1" customWidth="1"/>
    <col min="36" max="36" width="6.6640625" style="106" hidden="1" customWidth="1"/>
    <col min="37" max="37" width="0.44140625" style="106" hidden="1" customWidth="1"/>
    <col min="38" max="38" width="7.88671875" style="106" hidden="1" customWidth="1"/>
    <col min="39" max="39" width="1" style="106" hidden="1" customWidth="1"/>
    <col min="40" max="40" width="6.21875" style="106" hidden="1" customWidth="1"/>
    <col min="41" max="41" width="1.33203125" style="106" hidden="1" customWidth="1"/>
    <col min="42" max="42" width="3.33203125" style="278" hidden="1" customWidth="1"/>
    <col min="43" max="43" width="10.21875" style="278" hidden="1" customWidth="1"/>
    <col min="44" max="44" width="1.33203125" style="106" customWidth="1"/>
    <col min="45" max="45" width="7.88671875" style="106" customWidth="1"/>
    <col min="46" max="46" width="1.109375" style="106" customWidth="1"/>
    <col min="47" max="47" width="6.6640625" style="106" customWidth="1"/>
    <col min="48" max="48" width="1.6640625" style="106" hidden="1" customWidth="1"/>
    <col min="49" max="49" width="8.88671875" style="107" hidden="1" customWidth="1"/>
    <col min="50" max="50" width="1.21875" style="106" hidden="1" customWidth="1"/>
    <col min="51" max="51" width="9.109375" style="107" hidden="1" customWidth="1"/>
    <col min="52" max="52" width="1.33203125" style="106" hidden="1" customWidth="1"/>
    <col min="53" max="53" width="7.44140625" style="108" hidden="1" customWidth="1"/>
    <col min="54" max="54" width="4.21875" style="106" hidden="1" customWidth="1"/>
    <col min="55" max="55" width="8.77734375" style="107" hidden="1" customWidth="1"/>
    <col min="56" max="56" width="1.109375" style="106" hidden="1" customWidth="1"/>
    <col min="57" max="57" width="11" style="106" hidden="1" customWidth="1"/>
    <col min="58" max="58" width="1.44140625" style="106" hidden="1" customWidth="1"/>
    <col min="59" max="59" width="11" style="109" hidden="1" customWidth="1"/>
    <col min="60" max="60" width="1.6640625" style="106" hidden="1" customWidth="1"/>
    <col min="61" max="61" width="11" style="106" customWidth="1"/>
    <col min="62" max="62" width="1.33203125" style="106" hidden="1" customWidth="1"/>
    <col min="63" max="68" width="11" style="106" hidden="1" customWidth="1"/>
    <col min="69" max="69" width="0" style="106" hidden="1" customWidth="1"/>
    <col min="70" max="16384" width="11" style="106"/>
  </cols>
  <sheetData>
    <row r="2" spans="1:59" ht="21" x14ac:dyDescent="0.4">
      <c r="D2" s="745" t="s">
        <v>781</v>
      </c>
      <c r="E2" s="745"/>
      <c r="F2" s="745"/>
      <c r="G2" s="745"/>
      <c r="H2" s="745"/>
      <c r="I2" s="745"/>
      <c r="J2" s="745"/>
      <c r="K2" s="745"/>
      <c r="L2" s="745"/>
      <c r="M2" s="745"/>
      <c r="N2" s="745"/>
      <c r="O2" s="745"/>
      <c r="P2" s="745"/>
      <c r="Q2" s="745"/>
      <c r="R2" s="745"/>
      <c r="S2" s="745"/>
      <c r="T2" s="745"/>
      <c r="U2" s="745"/>
      <c r="V2" s="745"/>
      <c r="W2" s="745"/>
      <c r="X2" s="745"/>
      <c r="Y2" s="745"/>
      <c r="Z2" s="747"/>
      <c r="AA2" s="747"/>
      <c r="AB2" s="747"/>
      <c r="AC2" s="747"/>
      <c r="AD2" s="747"/>
      <c r="AE2" s="747"/>
      <c r="AF2" s="747"/>
      <c r="AG2" s="747"/>
      <c r="AH2" s="747"/>
      <c r="AI2" s="747"/>
      <c r="AJ2" s="747"/>
      <c r="AK2" s="747"/>
      <c r="AL2" s="747"/>
      <c r="AM2" s="747"/>
      <c r="AN2" s="747"/>
      <c r="AO2" s="747"/>
      <c r="AP2" s="747"/>
      <c r="AQ2" s="747"/>
      <c r="AR2" s="747"/>
    </row>
    <row r="3" spans="1:59" hidden="1" x14ac:dyDescent="0.3"/>
    <row r="4" spans="1:59" ht="29.25" customHeight="1" x14ac:dyDescent="0.3">
      <c r="D4" s="749">
        <f>Title</f>
        <v>0</v>
      </c>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W4" s="107" t="s">
        <v>782</v>
      </c>
      <c r="AY4" s="107" t="s">
        <v>783</v>
      </c>
      <c r="BA4" s="108" t="s">
        <v>784</v>
      </c>
      <c r="BC4" s="107" t="str">
        <f>AW4</f>
        <v>Grant</v>
      </c>
      <c r="BE4" s="107" t="str">
        <f>AY4</f>
        <v>Match</v>
      </c>
      <c r="BG4" s="108" t="str">
        <f>BA4</f>
        <v>Total</v>
      </c>
    </row>
    <row r="5" spans="1:59" x14ac:dyDescent="0.3">
      <c r="D5" s="751" t="str">
        <f>"Year Three:  "&amp;TEXT(YR3Start,"mmmm dd, yyyy")&amp;" - "&amp;TEXT(YR3End,"mmmm dd, yyyy")</f>
        <v>Year Three:  December 31, 1901 - December 30, 1902</v>
      </c>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row>
    <row r="6" spans="1:59" s="467" customFormat="1" ht="3" customHeight="1" x14ac:dyDescent="0.3">
      <c r="D6" s="468"/>
      <c r="E6" s="468"/>
      <c r="F6" s="477"/>
      <c r="G6" s="477"/>
      <c r="H6" s="468"/>
      <c r="I6" s="468"/>
      <c r="J6" s="468"/>
      <c r="K6" s="468"/>
      <c r="L6" s="468"/>
      <c r="M6" s="468"/>
      <c r="N6" s="468"/>
      <c r="O6" s="468"/>
      <c r="P6" s="470"/>
      <c r="Q6" s="470"/>
      <c r="U6" s="468"/>
      <c r="V6" s="468"/>
      <c r="W6" s="468"/>
      <c r="X6" s="468"/>
      <c r="Y6" s="468"/>
      <c r="Z6" s="468"/>
      <c r="AA6" s="468"/>
      <c r="AC6" s="470"/>
      <c r="AD6" s="469"/>
      <c r="AH6" s="468"/>
      <c r="AI6" s="468"/>
      <c r="AJ6" s="468"/>
      <c r="AK6" s="468"/>
      <c r="AL6" s="468"/>
      <c r="AM6" s="468"/>
      <c r="AN6" s="468"/>
      <c r="AP6" s="475"/>
      <c r="AQ6" s="475"/>
      <c r="AW6" s="470"/>
      <c r="AY6" s="470"/>
      <c r="BA6" s="471"/>
      <c r="BC6" s="470"/>
      <c r="BG6" s="476"/>
    </row>
    <row r="7" spans="1:59" ht="3" customHeight="1" x14ac:dyDescent="0.3">
      <c r="B7" s="21"/>
      <c r="C7" s="21"/>
      <c r="D7" s="21"/>
      <c r="E7" s="21"/>
      <c r="F7" s="21"/>
      <c r="G7" s="21"/>
      <c r="H7" s="21"/>
      <c r="I7" s="21"/>
      <c r="J7" s="21"/>
      <c r="K7" s="21"/>
      <c r="L7" s="21"/>
      <c r="M7" s="21"/>
      <c r="N7" s="21"/>
      <c r="O7" s="21"/>
      <c r="P7" s="21"/>
      <c r="T7" s="317"/>
      <c r="U7" s="369"/>
      <c r="V7" s="369"/>
      <c r="W7" s="369"/>
      <c r="X7" s="369"/>
      <c r="Y7" s="369"/>
      <c r="Z7" s="369"/>
      <c r="AA7" s="369"/>
      <c r="AB7" s="155"/>
      <c r="AC7" s="431"/>
      <c r="AD7" s="501"/>
      <c r="AE7" s="318"/>
      <c r="AH7" s="117"/>
      <c r="AI7" s="117"/>
      <c r="AJ7" s="117"/>
      <c r="AK7" s="117"/>
      <c r="AL7" s="117"/>
      <c r="AM7" s="117"/>
      <c r="AN7" s="117"/>
    </row>
    <row r="8" spans="1:59" ht="12.75" customHeight="1" x14ac:dyDescent="0.3">
      <c r="H8" s="756" t="s">
        <v>180</v>
      </c>
      <c r="I8" s="756"/>
      <c r="J8" s="756"/>
      <c r="K8" s="756"/>
      <c r="L8" s="756"/>
      <c r="M8" s="756"/>
      <c r="N8" s="756"/>
      <c r="O8" s="756"/>
      <c r="P8" s="756"/>
      <c r="Q8" s="756"/>
      <c r="R8" s="109"/>
      <c r="S8" s="109"/>
      <c r="T8" s="319"/>
      <c r="U8" s="758" t="s">
        <v>182</v>
      </c>
      <c r="V8" s="758"/>
      <c r="W8" s="758"/>
      <c r="X8" s="758"/>
      <c r="Y8" s="758"/>
      <c r="Z8" s="758"/>
      <c r="AA8" s="758"/>
      <c r="AB8" s="758"/>
      <c r="AC8" s="758"/>
      <c r="AD8" s="758"/>
      <c r="AE8" s="320"/>
      <c r="AF8" s="109"/>
      <c r="AG8" s="109"/>
      <c r="AH8" s="760" t="s">
        <v>785</v>
      </c>
      <c r="AI8" s="760"/>
      <c r="AJ8" s="760"/>
      <c r="AK8" s="760"/>
      <c r="AL8" s="760"/>
      <c r="AM8" s="760"/>
      <c r="AN8" s="760"/>
      <c r="AO8" s="760"/>
      <c r="AP8" s="760"/>
      <c r="AQ8" s="760"/>
    </row>
    <row r="9" spans="1:59" ht="12" customHeight="1" x14ac:dyDescent="0.4">
      <c r="H9" s="757" t="s">
        <v>786</v>
      </c>
      <c r="I9" s="757"/>
      <c r="J9" s="757"/>
      <c r="K9" s="757"/>
      <c r="L9" s="757"/>
      <c r="M9" s="757"/>
      <c r="N9" s="757"/>
      <c r="O9" s="757"/>
      <c r="P9" s="757"/>
      <c r="Q9" s="757"/>
      <c r="R9" s="114"/>
      <c r="S9" s="114"/>
      <c r="T9" s="346"/>
      <c r="U9" s="759" t="s">
        <v>787</v>
      </c>
      <c r="V9" s="759"/>
      <c r="W9" s="759"/>
      <c r="X9" s="759"/>
      <c r="Y9" s="759"/>
      <c r="Z9" s="759"/>
      <c r="AA9" s="759"/>
      <c r="AB9" s="759"/>
      <c r="AC9" s="759"/>
      <c r="AD9" s="759"/>
      <c r="AE9" s="322"/>
      <c r="AH9" s="760" t="s">
        <v>784</v>
      </c>
      <c r="AI9" s="760"/>
      <c r="AJ9" s="760"/>
      <c r="AK9" s="760"/>
      <c r="AL9" s="760"/>
      <c r="AM9" s="760"/>
      <c r="AN9" s="760"/>
      <c r="AO9" s="760"/>
      <c r="AP9" s="760"/>
      <c r="AQ9" s="760"/>
      <c r="AS9" s="778" t="s">
        <v>788</v>
      </c>
      <c r="AT9" s="779"/>
      <c r="AU9" s="780"/>
      <c r="AW9" s="766" t="s">
        <v>789</v>
      </c>
      <c r="AX9" s="766"/>
      <c r="AY9" s="766"/>
      <c r="AZ9" s="766"/>
      <c r="BA9" s="766"/>
      <c r="BB9" s="766"/>
      <c r="BC9" s="766"/>
      <c r="BD9" s="766"/>
      <c r="BE9" s="766"/>
      <c r="BF9" s="766"/>
      <c r="BG9" s="766"/>
    </row>
    <row r="10" spans="1:59" ht="3" customHeight="1" x14ac:dyDescent="0.3">
      <c r="H10" s="117"/>
      <c r="I10" s="117"/>
      <c r="J10" s="117"/>
      <c r="K10" s="117"/>
      <c r="L10" s="117"/>
      <c r="M10" s="117"/>
      <c r="N10" s="117"/>
      <c r="T10" s="323"/>
      <c r="U10" s="117"/>
      <c r="V10" s="117"/>
      <c r="W10" s="117"/>
      <c r="X10" s="117"/>
      <c r="Y10" s="117"/>
      <c r="Z10" s="117"/>
      <c r="AA10" s="117"/>
      <c r="AC10" s="157"/>
      <c r="AE10" s="322"/>
      <c r="AH10" s="117"/>
      <c r="AI10" s="117"/>
      <c r="AJ10" s="117"/>
      <c r="AK10" s="117"/>
      <c r="AL10" s="117"/>
      <c r="AM10" s="117"/>
      <c r="AN10" s="117"/>
      <c r="AS10" s="518"/>
      <c r="AU10" s="322"/>
    </row>
    <row r="11" spans="1:59" ht="36" customHeight="1" x14ac:dyDescent="0.3">
      <c r="D11" s="115"/>
      <c r="E11" s="115"/>
      <c r="F11" s="147" t="s">
        <v>790</v>
      </c>
      <c r="G11" s="394"/>
      <c r="H11" s="148" t="s">
        <v>150</v>
      </c>
      <c r="I11" s="114"/>
      <c r="J11" s="148" t="s">
        <v>791</v>
      </c>
      <c r="K11" s="114"/>
      <c r="L11" s="148" t="s">
        <v>792</v>
      </c>
      <c r="M11" s="114"/>
      <c r="N11" s="148" t="s">
        <v>791</v>
      </c>
      <c r="O11" s="114"/>
      <c r="P11" s="741" t="s">
        <v>793</v>
      </c>
      <c r="Q11" s="741"/>
      <c r="R11" s="149"/>
      <c r="S11" s="149"/>
      <c r="T11" s="321"/>
      <c r="U11" s="148" t="str">
        <f>H11</f>
        <v>Acad</v>
      </c>
      <c r="V11" s="114"/>
      <c r="W11" s="148" t="str">
        <f>J11</f>
        <v>% Effort</v>
      </c>
      <c r="X11" s="114"/>
      <c r="Y11" s="148" t="str">
        <f>L11</f>
        <v>Sumr</v>
      </c>
      <c r="Z11" s="114"/>
      <c r="AA11" s="148" t="str">
        <f>N11</f>
        <v>% Effort</v>
      </c>
      <c r="AB11" s="149"/>
      <c r="AC11" s="741" t="s">
        <v>793</v>
      </c>
      <c r="AD11" s="741"/>
      <c r="AE11" s="324"/>
      <c r="AF11" s="149"/>
      <c r="AG11" s="149"/>
      <c r="AH11" s="148" t="str">
        <f>H11</f>
        <v>Acad</v>
      </c>
      <c r="AI11" s="114"/>
      <c r="AJ11" s="148" t="str">
        <f>J11</f>
        <v>% Effort</v>
      </c>
      <c r="AK11" s="114"/>
      <c r="AL11" s="148" t="str">
        <f>L11</f>
        <v>Sumr</v>
      </c>
      <c r="AM11" s="114"/>
      <c r="AN11" s="148" t="str">
        <f>N11</f>
        <v>% Effort</v>
      </c>
      <c r="AO11" s="149"/>
      <c r="AP11" s="767" t="s">
        <v>793</v>
      </c>
      <c r="AQ11" s="767"/>
      <c r="AS11" s="516" t="s">
        <v>794</v>
      </c>
      <c r="AT11" s="512"/>
      <c r="AU11" s="517" t="s">
        <v>795</v>
      </c>
      <c r="AW11" s="740" t="s">
        <v>796</v>
      </c>
      <c r="AX11" s="740"/>
      <c r="AY11" s="740"/>
      <c r="AZ11" s="740"/>
      <c r="BA11" s="740"/>
      <c r="BC11" s="740" t="s">
        <v>712</v>
      </c>
      <c r="BD11" s="740"/>
      <c r="BE11" s="740"/>
      <c r="BF11" s="740"/>
      <c r="BG11" s="740"/>
    </row>
    <row r="12" spans="1:59" x14ac:dyDescent="0.3">
      <c r="A12" s="118" t="s">
        <v>180</v>
      </c>
      <c r="B12" s="109" t="s">
        <v>797</v>
      </c>
      <c r="D12" s="115"/>
      <c r="E12" s="115"/>
      <c r="F12" s="116"/>
      <c r="G12" s="116"/>
      <c r="H12" s="117"/>
      <c r="I12" s="117"/>
      <c r="J12" s="117"/>
      <c r="K12" s="117"/>
      <c r="L12" s="117"/>
      <c r="M12" s="117"/>
      <c r="N12" s="117"/>
      <c r="O12" s="119"/>
      <c r="T12" s="323"/>
      <c r="U12" s="117"/>
      <c r="V12" s="117"/>
      <c r="W12" s="117"/>
      <c r="X12" s="117"/>
      <c r="Y12" s="117"/>
      <c r="Z12" s="117"/>
      <c r="AA12" s="117"/>
      <c r="AE12" s="322"/>
      <c r="AH12" s="117"/>
      <c r="AI12" s="117"/>
      <c r="AJ12" s="117"/>
      <c r="AK12" s="117"/>
      <c r="AL12" s="117"/>
      <c r="AM12" s="117"/>
      <c r="AN12" s="117"/>
      <c r="AS12" s="323"/>
      <c r="AU12" s="322"/>
    </row>
    <row r="13" spans="1:59" ht="14.25" customHeight="1" x14ac:dyDescent="0.3">
      <c r="B13" s="113"/>
      <c r="C13" s="125" t="str">
        <f>"PI ~ "</f>
        <v xml:space="preserve">PI ~ </v>
      </c>
      <c r="D13" s="21">
        <f>PI</f>
        <v>0</v>
      </c>
      <c r="F13" s="120">
        <f>ROUND((VLOOKUP(D13,Salaries!$A$3:$I$370,8,FALSE))*(1+COLA/100)*(1+COLA/100),0)</f>
        <v>0</v>
      </c>
      <c r="H13" s="385"/>
      <c r="I13" s="306"/>
      <c r="J13" s="307"/>
      <c r="K13" s="307"/>
      <c r="L13" s="385"/>
      <c r="M13" s="306"/>
      <c r="N13" s="307">
        <v>1</v>
      </c>
      <c r="O13" s="146"/>
      <c r="P13" s="724">
        <f>ROUND(F13/12*H13*J13+F13/12*L13*N13, 0)</f>
        <v>0</v>
      </c>
      <c r="Q13" s="724"/>
      <c r="T13" s="323"/>
      <c r="U13" s="385"/>
      <c r="V13" s="306"/>
      <c r="W13" s="307"/>
      <c r="X13" s="307"/>
      <c r="Y13" s="385"/>
      <c r="Z13" s="305"/>
      <c r="AA13" s="307"/>
      <c r="AC13" s="724">
        <f>ROUND((F13/12*U13*W13)+(F13/12*Y13*AA13),0)</f>
        <v>0</v>
      </c>
      <c r="AD13" s="724"/>
      <c r="AE13" s="322"/>
      <c r="AH13" s="150">
        <f>U13+H13</f>
        <v>0</v>
      </c>
      <c r="AI13" s="150"/>
      <c r="AJ13" s="151">
        <f>W13+J13</f>
        <v>0</v>
      </c>
      <c r="AK13" s="152"/>
      <c r="AL13" s="150">
        <f>Y13+L13</f>
        <v>0</v>
      </c>
      <c r="AM13" s="150"/>
      <c r="AN13" s="151">
        <f>AA13+N13</f>
        <v>1</v>
      </c>
      <c r="AO13" s="109"/>
      <c r="AP13" s="765">
        <f>ROUND(SUM(P13:Q14)+SUM(AC13:AD14),0)</f>
        <v>0</v>
      </c>
      <c r="AQ13" s="765"/>
      <c r="AS13" s="323"/>
      <c r="AU13" s="322"/>
      <c r="AW13" s="107">
        <f>Q13</f>
        <v>0</v>
      </c>
      <c r="AY13" s="107">
        <f>ROUND(AC13,0)</f>
        <v>0</v>
      </c>
      <c r="BA13" s="108">
        <f>ROUND(AY13+AW13,0)</f>
        <v>0</v>
      </c>
    </row>
    <row r="14" spans="1:59" x14ac:dyDescent="0.3">
      <c r="B14" s="119"/>
      <c r="C14" s="115"/>
      <c r="D14" s="106" t="str">
        <f>"Fringe @ "&amp;TEXT(FRINGE,"0.00%")</f>
        <v>Fringe @ 27.27%</v>
      </c>
      <c r="H14" s="121"/>
      <c r="I14" s="121"/>
      <c r="J14" s="121"/>
      <c r="K14" s="121"/>
      <c r="L14" s="121"/>
      <c r="M14" s="121"/>
      <c r="N14" s="121"/>
      <c r="O14" s="119"/>
      <c r="Q14" s="107">
        <f>ROUND(P13*FRINGE*(1+FrCOLA+FrCOLA),0)</f>
        <v>0</v>
      </c>
      <c r="T14" s="323"/>
      <c r="U14" s="121"/>
      <c r="V14" s="121"/>
      <c r="W14" s="121"/>
      <c r="X14" s="121"/>
      <c r="Y14" s="121"/>
      <c r="Z14" s="121"/>
      <c r="AA14" s="121"/>
      <c r="AD14" s="107">
        <f>ROUND(AC13*FRINGE*(1+FrCOLA+FrCOLA),0)</f>
        <v>0</v>
      </c>
      <c r="AE14" s="322"/>
      <c r="AH14" s="150"/>
      <c r="AI14" s="150"/>
      <c r="AJ14" s="150"/>
      <c r="AK14" s="152"/>
      <c r="AL14" s="150"/>
      <c r="AM14" s="150"/>
      <c r="AN14" s="150"/>
      <c r="AO14" s="109"/>
      <c r="AP14" s="765"/>
      <c r="AQ14" s="765"/>
      <c r="AS14" s="323"/>
      <c r="AU14" s="322"/>
      <c r="BC14" s="107">
        <f>ROUND(Q14,0)</f>
        <v>0</v>
      </c>
      <c r="BE14" s="107">
        <f>ROUND(AD14,0)</f>
        <v>0</v>
      </c>
      <c r="BG14" s="108">
        <f>ROUND(BE14+BC14,0)</f>
        <v>0</v>
      </c>
    </row>
    <row r="15" spans="1:59" ht="3" customHeight="1" x14ac:dyDescent="0.3">
      <c r="B15" s="119"/>
      <c r="C15" s="115"/>
      <c r="H15" s="121"/>
      <c r="I15" s="121"/>
      <c r="J15" s="121"/>
      <c r="K15" s="121"/>
      <c r="L15" s="121"/>
      <c r="M15" s="121"/>
      <c r="N15" s="121"/>
      <c r="O15" s="119"/>
      <c r="T15" s="323"/>
      <c r="U15" s="121"/>
      <c r="V15" s="121"/>
      <c r="W15" s="121"/>
      <c r="X15" s="121"/>
      <c r="Y15" s="121"/>
      <c r="Z15" s="121"/>
      <c r="AA15" s="121"/>
      <c r="AD15" s="107"/>
      <c r="AE15" s="322"/>
      <c r="AH15" s="150"/>
      <c r="AI15" s="150"/>
      <c r="AJ15" s="150"/>
      <c r="AK15" s="152"/>
      <c r="AL15" s="150"/>
      <c r="AM15" s="150"/>
      <c r="AN15" s="150"/>
      <c r="AO15" s="109"/>
      <c r="AP15" s="608"/>
      <c r="AQ15" s="608"/>
      <c r="AS15" s="323"/>
      <c r="AU15" s="322"/>
    </row>
    <row r="16" spans="1:59" ht="14.25" customHeight="1" x14ac:dyDescent="0.3">
      <c r="B16" s="113"/>
      <c r="C16" s="125" t="s">
        <v>798</v>
      </c>
      <c r="D16" s="21">
        <f>'YEAR 2'!D16</f>
        <v>0</v>
      </c>
      <c r="F16" s="120">
        <f>ROUND((VLOOKUP(D16,Salaries!$A$3:$I$370,8,FALSE))*(1+COLA/100)*(1+COLA/100),0)</f>
        <v>0</v>
      </c>
      <c r="H16" s="385"/>
      <c r="I16" s="306"/>
      <c r="J16" s="307"/>
      <c r="K16" s="307"/>
      <c r="L16" s="385">
        <v>0</v>
      </c>
      <c r="M16" s="306"/>
      <c r="N16" s="307">
        <v>0</v>
      </c>
      <c r="O16" s="146"/>
      <c r="P16" s="724">
        <f>ROUND(F16/12*H16*J16+F16/12*L16*N16, 0)</f>
        <v>0</v>
      </c>
      <c r="Q16" s="724"/>
      <c r="T16" s="323"/>
      <c r="U16" s="385"/>
      <c r="V16" s="306"/>
      <c r="W16" s="307"/>
      <c r="X16" s="307"/>
      <c r="Y16" s="385"/>
      <c r="Z16" s="305"/>
      <c r="AA16" s="307"/>
      <c r="AC16" s="724">
        <f>ROUND((F16/12*U16*W16)+(F16/12*Y16*AA16),0)</f>
        <v>0</v>
      </c>
      <c r="AD16" s="724"/>
      <c r="AE16" s="322"/>
      <c r="AH16" s="150">
        <f>U16+H16</f>
        <v>0</v>
      </c>
      <c r="AI16" s="150"/>
      <c r="AJ16" s="151">
        <f>W16+J16</f>
        <v>0</v>
      </c>
      <c r="AK16" s="152"/>
      <c r="AL16" s="150">
        <f>Y16+L16</f>
        <v>0</v>
      </c>
      <c r="AM16" s="150"/>
      <c r="AN16" s="151">
        <f>AA16+N16</f>
        <v>0</v>
      </c>
      <c r="AO16" s="109"/>
      <c r="AP16" s="765">
        <f>ROUND(SUM(P16:Q17)+SUM(AC16:AD17),0)</f>
        <v>0</v>
      </c>
      <c r="AQ16" s="765"/>
      <c r="AS16" s="323"/>
      <c r="AU16" s="322"/>
      <c r="AW16" s="107">
        <f>P16</f>
        <v>0</v>
      </c>
      <c r="AY16" s="107">
        <f>ROUND(AC16,0)</f>
        <v>0</v>
      </c>
      <c r="BA16" s="108">
        <f>ROUND(AY16+AW16,0)</f>
        <v>0</v>
      </c>
    </row>
    <row r="17" spans="3:59" ht="12.75" customHeight="1" x14ac:dyDescent="0.3">
      <c r="D17" s="106" t="str">
        <f>"Fringe @ "&amp;TEXT(FRINGE,"0.00%")</f>
        <v>Fringe @ 27.27%</v>
      </c>
      <c r="H17" s="121"/>
      <c r="I17" s="121"/>
      <c r="J17" s="121"/>
      <c r="K17" s="121"/>
      <c r="L17" s="121"/>
      <c r="M17" s="121"/>
      <c r="N17" s="121"/>
      <c r="O17" s="119"/>
      <c r="Q17" s="107">
        <f>ROUND(P16*FRINGE*(1+FrCOLA+FrCOLA),0)</f>
        <v>0</v>
      </c>
      <c r="T17" s="323"/>
      <c r="U17" s="121"/>
      <c r="V17" s="121"/>
      <c r="W17" s="121"/>
      <c r="X17" s="121"/>
      <c r="Y17" s="121"/>
      <c r="Z17" s="121"/>
      <c r="AA17" s="121"/>
      <c r="AD17" s="107">
        <f>ROUND(AC16*FRINGE*(1+FrCOLA+FrCOLA),0)</f>
        <v>0</v>
      </c>
      <c r="AE17" s="322"/>
      <c r="AH17" s="152"/>
      <c r="AI17" s="152"/>
      <c r="AJ17" s="152"/>
      <c r="AK17" s="152"/>
      <c r="AL17" s="150"/>
      <c r="AM17" s="150"/>
      <c r="AN17" s="150"/>
      <c r="AO17" s="109"/>
      <c r="AP17" s="765"/>
      <c r="AQ17" s="765"/>
      <c r="AS17" s="323"/>
      <c r="AU17" s="322"/>
      <c r="BC17" s="107">
        <f>ROUND(Q17,0)</f>
        <v>0</v>
      </c>
      <c r="BE17" s="107">
        <f>ROUND(AD17,0)</f>
        <v>0</v>
      </c>
      <c r="BG17" s="108">
        <f>ROUND(BE17+BC17,0)</f>
        <v>0</v>
      </c>
    </row>
    <row r="18" spans="3:59" ht="3" customHeight="1" x14ac:dyDescent="0.3">
      <c r="H18" s="121"/>
      <c r="I18" s="121"/>
      <c r="J18" s="121"/>
      <c r="K18" s="121"/>
      <c r="L18" s="121"/>
      <c r="M18" s="121"/>
      <c r="N18" s="121"/>
      <c r="O18" s="119"/>
      <c r="T18" s="323"/>
      <c r="U18" s="121"/>
      <c r="V18" s="121"/>
      <c r="W18" s="121"/>
      <c r="X18" s="121"/>
      <c r="Y18" s="121"/>
      <c r="Z18" s="121"/>
      <c r="AA18" s="121"/>
      <c r="AD18" s="107"/>
      <c r="AE18" s="322"/>
      <c r="AH18" s="152"/>
      <c r="AI18" s="152"/>
      <c r="AJ18" s="152"/>
      <c r="AK18" s="152"/>
      <c r="AL18" s="150"/>
      <c r="AM18" s="150"/>
      <c r="AN18" s="150"/>
      <c r="AO18" s="109"/>
      <c r="AS18" s="323"/>
      <c r="AU18" s="322"/>
    </row>
    <row r="19" spans="3:59" ht="14.25" customHeight="1" x14ac:dyDescent="0.3">
      <c r="C19" s="125" t="s">
        <v>798</v>
      </c>
      <c r="D19" s="21">
        <f>'YEAR 2'!D19</f>
        <v>0</v>
      </c>
      <c r="F19" s="120">
        <f>ROUND((VLOOKUP(D19,Salaries!$A$3:$I$370,8,FALSE))*(1+COLA/100)*(1+COLA/100),0)</f>
        <v>0</v>
      </c>
      <c r="H19" s="385"/>
      <c r="I19" s="306"/>
      <c r="J19" s="307"/>
      <c r="K19" s="307"/>
      <c r="L19" s="385">
        <v>0</v>
      </c>
      <c r="M19" s="306"/>
      <c r="N19" s="307">
        <v>0</v>
      </c>
      <c r="O19" s="146"/>
      <c r="P19" s="724">
        <f>ROUND(F19/12*H19*J19+F19/12*L19*N19, 0)</f>
        <v>0</v>
      </c>
      <c r="Q19" s="724"/>
      <c r="T19" s="323"/>
      <c r="U19" s="385"/>
      <c r="V19" s="306"/>
      <c r="W19" s="307"/>
      <c r="X19" s="307"/>
      <c r="Y19" s="385"/>
      <c r="Z19" s="305"/>
      <c r="AA19" s="307"/>
      <c r="AC19" s="724">
        <f>ROUND((F19/12*U19*W19)+(F19/12*Y19*AA19),0)</f>
        <v>0</v>
      </c>
      <c r="AD19" s="724"/>
      <c r="AE19" s="322"/>
      <c r="AH19" s="150">
        <f>U19+H19</f>
        <v>0</v>
      </c>
      <c r="AI19" s="150"/>
      <c r="AJ19" s="151">
        <f>W19+J19</f>
        <v>0</v>
      </c>
      <c r="AK19" s="152"/>
      <c r="AL19" s="150">
        <f>Y19+L19</f>
        <v>0</v>
      </c>
      <c r="AM19" s="150"/>
      <c r="AN19" s="151">
        <f>AA19+N19</f>
        <v>0</v>
      </c>
      <c r="AO19" s="109"/>
      <c r="AP19" s="765">
        <f>ROUND(SUM(P19:Q20)+SUM(AC19:AD20),0)</f>
        <v>0</v>
      </c>
      <c r="AQ19" s="765"/>
      <c r="AS19" s="323"/>
      <c r="AU19" s="322"/>
      <c r="AW19" s="107">
        <f>P19</f>
        <v>0</v>
      </c>
      <c r="AY19" s="107">
        <f>ROUND(AC19,0)</f>
        <v>0</v>
      </c>
      <c r="BA19" s="108">
        <f>ROUND(AY19+AW19,0)</f>
        <v>0</v>
      </c>
    </row>
    <row r="20" spans="3:59" ht="12.75" customHeight="1" x14ac:dyDescent="0.3">
      <c r="D20" s="106" t="str">
        <f>"Fringe @ "&amp;TEXT(FRINGE,"0.00%")</f>
        <v>Fringe @ 27.27%</v>
      </c>
      <c r="H20" s="121"/>
      <c r="I20" s="121"/>
      <c r="J20" s="121"/>
      <c r="K20" s="121"/>
      <c r="L20" s="121"/>
      <c r="M20" s="121"/>
      <c r="N20" s="121"/>
      <c r="O20" s="119"/>
      <c r="Q20" s="107">
        <f>ROUND(P19*FRINGE*(1+FrCOLA+FrCOLA),0)</f>
        <v>0</v>
      </c>
      <c r="T20" s="323"/>
      <c r="U20" s="121"/>
      <c r="V20" s="121"/>
      <c r="W20" s="121"/>
      <c r="X20" s="121"/>
      <c r="Y20" s="121"/>
      <c r="Z20" s="121"/>
      <c r="AA20" s="121"/>
      <c r="AD20" s="107">
        <f>ROUND(AC19*FRINGE*(1+FrCOLA+FrCOLA),0)</f>
        <v>0</v>
      </c>
      <c r="AE20" s="322"/>
      <c r="AH20" s="152"/>
      <c r="AI20" s="152"/>
      <c r="AJ20" s="152"/>
      <c r="AK20" s="152"/>
      <c r="AL20" s="150"/>
      <c r="AM20" s="150"/>
      <c r="AN20" s="150"/>
      <c r="AO20" s="109"/>
      <c r="AP20" s="765"/>
      <c r="AQ20" s="765"/>
      <c r="AS20" s="323"/>
      <c r="AU20" s="322"/>
      <c r="BC20" s="107">
        <f>ROUND(Q20,0)</f>
        <v>0</v>
      </c>
      <c r="BE20" s="107">
        <f>ROUND(AD20,0)</f>
        <v>0</v>
      </c>
      <c r="BG20" s="108">
        <f>ROUND(BE20+BC20,0)</f>
        <v>0</v>
      </c>
    </row>
    <row r="21" spans="3:59" ht="3" hidden="1" customHeight="1" x14ac:dyDescent="0.3">
      <c r="H21" s="121"/>
      <c r="I21" s="121"/>
      <c r="J21" s="121"/>
      <c r="K21" s="121"/>
      <c r="L21" s="121"/>
      <c r="M21" s="121"/>
      <c r="N21" s="121"/>
      <c r="O21" s="119"/>
      <c r="T21" s="323"/>
      <c r="U21" s="121"/>
      <c r="V21" s="121"/>
      <c r="W21" s="121"/>
      <c r="X21" s="121"/>
      <c r="Y21" s="121"/>
      <c r="Z21" s="121"/>
      <c r="AA21" s="121"/>
      <c r="AD21" s="107"/>
      <c r="AE21" s="322"/>
      <c r="AH21" s="152"/>
      <c r="AI21" s="152"/>
      <c r="AJ21" s="152"/>
      <c r="AK21" s="152"/>
      <c r="AL21" s="150"/>
      <c r="AM21" s="150"/>
      <c r="AN21" s="150"/>
      <c r="AO21" s="109"/>
      <c r="AS21" s="323"/>
      <c r="AU21" s="322"/>
    </row>
    <row r="22" spans="3:59" ht="14.25" hidden="1" customHeight="1" x14ac:dyDescent="0.3">
      <c r="C22" s="125" t="s">
        <v>798</v>
      </c>
      <c r="D22" s="21">
        <f>'YEAR 2'!D22</f>
        <v>0</v>
      </c>
      <c r="F22" s="120">
        <f>ROUND((VLOOKUP(D22,Salaries!$A$3:$I$370,8,FALSE))*(1+COLA/100)*(1+COLA/100),0)</f>
        <v>0</v>
      </c>
      <c r="H22" s="385"/>
      <c r="I22" s="306"/>
      <c r="J22" s="307"/>
      <c r="K22" s="307"/>
      <c r="L22" s="385">
        <f>'YEAR 2'!L22</f>
        <v>0</v>
      </c>
      <c r="M22" s="306"/>
      <c r="N22" s="307">
        <f>'YEAR 2'!N22</f>
        <v>0</v>
      </c>
      <c r="O22" s="146"/>
      <c r="P22" s="724">
        <f>ROUND(F22/12*H22*J22+F22/12*L22*N22, 0)</f>
        <v>0</v>
      </c>
      <c r="Q22" s="724"/>
      <c r="T22" s="323"/>
      <c r="U22" s="385"/>
      <c r="V22" s="306"/>
      <c r="W22" s="307"/>
      <c r="X22" s="307"/>
      <c r="Y22" s="385"/>
      <c r="Z22" s="305"/>
      <c r="AA22" s="307"/>
      <c r="AC22" s="724">
        <f>ROUND((F22/12*U22*W22)+(F22/12*Y22*AA22),0)</f>
        <v>0</v>
      </c>
      <c r="AD22" s="724"/>
      <c r="AE22" s="322"/>
      <c r="AH22" s="150">
        <f>U22+H22</f>
        <v>0</v>
      </c>
      <c r="AI22" s="150"/>
      <c r="AJ22" s="151">
        <f>W22+J22</f>
        <v>0</v>
      </c>
      <c r="AK22" s="152"/>
      <c r="AL22" s="150">
        <f>Y22+L22</f>
        <v>0</v>
      </c>
      <c r="AM22" s="150"/>
      <c r="AN22" s="151">
        <f>AA22+N22</f>
        <v>0</v>
      </c>
      <c r="AO22" s="109"/>
      <c r="AP22" s="765">
        <f>ROUND(SUM(P22:Q23)+SUM(AC22:AD23),0)</f>
        <v>0</v>
      </c>
      <c r="AQ22" s="765"/>
      <c r="AS22" s="323"/>
      <c r="AU22" s="322"/>
      <c r="AW22" s="107">
        <f>P22</f>
        <v>0</v>
      </c>
      <c r="AY22" s="107">
        <f>ROUND(AC22,0)</f>
        <v>0</v>
      </c>
      <c r="BA22" s="108">
        <f>ROUND(AY22+AW22,0)</f>
        <v>0</v>
      </c>
    </row>
    <row r="23" spans="3:59" ht="12.75" hidden="1" customHeight="1" x14ac:dyDescent="0.3">
      <c r="D23" s="106" t="str">
        <f>"Fringe @ "&amp;TEXT(FRINGE,"0.00%")</f>
        <v>Fringe @ 27.27%</v>
      </c>
      <c r="H23" s="121"/>
      <c r="I23" s="121"/>
      <c r="J23" s="121"/>
      <c r="K23" s="121"/>
      <c r="L23" s="121"/>
      <c r="M23" s="121"/>
      <c r="N23" s="121"/>
      <c r="O23" s="119"/>
      <c r="Q23" s="107">
        <f>ROUND(P22*FRINGE*(1+FrCOLA+FrCOLA),0)</f>
        <v>0</v>
      </c>
      <c r="T23" s="323"/>
      <c r="U23" s="121"/>
      <c r="V23" s="121"/>
      <c r="W23" s="121"/>
      <c r="X23" s="121"/>
      <c r="Y23" s="121"/>
      <c r="Z23" s="121"/>
      <c r="AA23" s="121"/>
      <c r="AD23" s="107">
        <f>ROUND(AC22*FRINGE*(1+FrCOLA+FrCOLA),0)</f>
        <v>0</v>
      </c>
      <c r="AE23" s="322"/>
      <c r="AH23" s="384"/>
      <c r="AI23" s="384"/>
      <c r="AJ23" s="384"/>
      <c r="AK23" s="384"/>
      <c r="AL23" s="383"/>
      <c r="AM23" s="383"/>
      <c r="AN23" s="383"/>
      <c r="AO23" s="109"/>
      <c r="AP23" s="765"/>
      <c r="AQ23" s="765"/>
      <c r="AS23" s="323"/>
      <c r="AU23" s="322"/>
      <c r="BC23" s="107">
        <f>ROUND(Q23,0)</f>
        <v>0</v>
      </c>
      <c r="BE23" s="107">
        <f>ROUND(AD23,0)</f>
        <v>0</v>
      </c>
      <c r="BG23" s="108">
        <f>ROUND(BE23+BC23,0)</f>
        <v>0</v>
      </c>
    </row>
    <row r="24" spans="3:59" ht="3" hidden="1" customHeight="1" x14ac:dyDescent="0.3">
      <c r="L24" s="121"/>
      <c r="M24" s="121"/>
      <c r="N24" s="121"/>
      <c r="O24" s="119"/>
      <c r="T24" s="323"/>
      <c r="U24" s="121"/>
      <c r="V24" s="121"/>
      <c r="W24" s="121"/>
      <c r="X24" s="121"/>
      <c r="Y24" s="121"/>
      <c r="Z24" s="121"/>
      <c r="AA24" s="121"/>
      <c r="AD24" s="107"/>
      <c r="AE24" s="322"/>
      <c r="AH24" s="384"/>
      <c r="AI24" s="384"/>
      <c r="AJ24" s="384"/>
      <c r="AK24" s="384"/>
      <c r="AL24" s="383"/>
      <c r="AM24" s="383"/>
      <c r="AN24" s="383"/>
      <c r="AO24" s="109"/>
      <c r="AP24" s="608"/>
      <c r="AQ24" s="608"/>
      <c r="AS24" s="323"/>
      <c r="AU24" s="322"/>
      <c r="BE24" s="107"/>
      <c r="BG24" s="108"/>
    </row>
    <row r="25" spans="3:59" ht="14.25" hidden="1" customHeight="1" x14ac:dyDescent="0.3">
      <c r="C25" s="125" t="s">
        <v>798</v>
      </c>
      <c r="D25" s="21">
        <f>'YEAR 2'!D25</f>
        <v>0</v>
      </c>
      <c r="F25" s="120">
        <f>ROUND((VLOOKUP(D25,Salaries!$A$3:$I$370,8,FALSE))*(1+COLA/100)*(1+COLA/100),0)</f>
        <v>0</v>
      </c>
      <c r="H25" s="385"/>
      <c r="I25" s="306"/>
      <c r="J25" s="307"/>
      <c r="K25" s="307"/>
      <c r="L25" s="385">
        <f>'YEAR 2'!L25</f>
        <v>0</v>
      </c>
      <c r="M25" s="306"/>
      <c r="N25" s="307">
        <f>'YEAR 2'!N25</f>
        <v>0</v>
      </c>
      <c r="O25" s="146"/>
      <c r="P25" s="724">
        <f>ROUND(F25/12*H25*J25+F25/12*L25*N25, 0)</f>
        <v>0</v>
      </c>
      <c r="Q25" s="724"/>
      <c r="T25" s="323"/>
      <c r="U25" s="385"/>
      <c r="V25" s="121"/>
      <c r="W25" s="121"/>
      <c r="X25" s="121"/>
      <c r="Y25" s="385"/>
      <c r="Z25" s="121"/>
      <c r="AA25" s="307"/>
      <c r="AC25" s="724">
        <f>ROUND((VLOOKUP($D25,Salaries!$A$3:$I$370,9,FALSE)*U25*W25*(1+COLA/100)*(1+COLA/100))+(VLOOKUP($D25,Salaries!$A$3:$I$370,9,FALSE)*Y25*AA25*(1+COLA/100)*(1+COLA/100)),0)</f>
        <v>0</v>
      </c>
      <c r="AD25" s="724"/>
      <c r="AE25" s="322"/>
      <c r="AH25" s="150">
        <f>U25+H25</f>
        <v>0</v>
      </c>
      <c r="AI25" s="150"/>
      <c r="AJ25" s="151">
        <f>W25+J25</f>
        <v>0</v>
      </c>
      <c r="AK25" s="152"/>
      <c r="AL25" s="150">
        <f>Y25+L25</f>
        <v>0</v>
      </c>
      <c r="AM25" s="150"/>
      <c r="AN25" s="151">
        <f>AA25+N25</f>
        <v>0</v>
      </c>
      <c r="AO25" s="109"/>
      <c r="AP25" s="765">
        <f>ROUND(SUM(P25:Q26)+SUM(AC25:AD26),0)</f>
        <v>0</v>
      </c>
      <c r="AQ25" s="765"/>
      <c r="AS25" s="323"/>
      <c r="AU25" s="322"/>
      <c r="BE25" s="107"/>
      <c r="BG25" s="108"/>
    </row>
    <row r="26" spans="3:59" ht="12.75" hidden="1" customHeight="1" x14ac:dyDescent="0.3">
      <c r="D26" s="106" t="str">
        <f>"Fringe @ "&amp;TEXT(FRINGE,"0.00%")</f>
        <v>Fringe @ 27.27%</v>
      </c>
      <c r="H26" s="121"/>
      <c r="I26" s="121"/>
      <c r="J26" s="121"/>
      <c r="K26" s="121"/>
      <c r="L26" s="121"/>
      <c r="M26" s="121"/>
      <c r="N26" s="121"/>
      <c r="O26" s="119"/>
      <c r="Q26" s="107">
        <f>ROUND(P25*FRINGE*(1+FrCOLA+FrCOLA),0)</f>
        <v>0</v>
      </c>
      <c r="T26" s="323"/>
      <c r="U26" s="121"/>
      <c r="V26" s="121"/>
      <c r="W26" s="121"/>
      <c r="X26" s="121"/>
      <c r="Y26" s="121"/>
      <c r="Z26" s="121"/>
      <c r="AA26" s="121"/>
      <c r="AD26" s="107">
        <f>ROUND(AC25*FRINGE*(1+FrCOLA+FrCOLA),0)</f>
        <v>0</v>
      </c>
      <c r="AE26" s="322"/>
      <c r="AH26" s="384"/>
      <c r="AI26" s="384"/>
      <c r="AJ26" s="384"/>
      <c r="AK26" s="384"/>
      <c r="AL26" s="383"/>
      <c r="AM26" s="383"/>
      <c r="AN26" s="383"/>
      <c r="AO26" s="109"/>
      <c r="AP26" s="765"/>
      <c r="AQ26" s="765"/>
      <c r="AS26" s="323"/>
      <c r="AU26" s="322"/>
      <c r="BE26" s="107"/>
      <c r="BG26" s="108"/>
    </row>
    <row r="27" spans="3:59" ht="3" hidden="1" customHeight="1" x14ac:dyDescent="0.3">
      <c r="H27" s="121"/>
      <c r="I27" s="121"/>
      <c r="J27" s="121"/>
      <c r="K27" s="121"/>
      <c r="L27" s="121"/>
      <c r="M27" s="121"/>
      <c r="N27" s="121"/>
      <c r="O27" s="119"/>
      <c r="T27" s="323"/>
      <c r="U27" s="121"/>
      <c r="V27" s="121"/>
      <c r="W27" s="121"/>
      <c r="X27" s="121"/>
      <c r="Y27" s="121"/>
      <c r="Z27" s="121"/>
      <c r="AA27" s="121"/>
      <c r="AD27" s="107"/>
      <c r="AE27" s="322"/>
      <c r="AH27" s="384"/>
      <c r="AI27" s="384"/>
      <c r="AJ27" s="384"/>
      <c r="AK27" s="384"/>
      <c r="AL27" s="383"/>
      <c r="AM27" s="383"/>
      <c r="AN27" s="383"/>
      <c r="AO27" s="109"/>
      <c r="AP27" s="608"/>
      <c r="AQ27" s="608"/>
      <c r="AS27" s="323"/>
      <c r="AU27" s="322"/>
      <c r="BE27" s="107"/>
      <c r="BG27" s="108"/>
    </row>
    <row r="28" spans="3:59" ht="14.25" hidden="1" customHeight="1" x14ac:dyDescent="0.3">
      <c r="D28" s="21">
        <f>'YEAR 2'!D28</f>
        <v>0</v>
      </c>
      <c r="F28" s="120">
        <f>ROUND((VLOOKUP(D28,Salaries!$A$3:$I$370,8,FALSE))*(1+COLA/100)*(1+COLA/100),0)</f>
        <v>0</v>
      </c>
      <c r="H28" s="385">
        <f>'YEAR 2'!H28</f>
        <v>0</v>
      </c>
      <c r="I28" s="306"/>
      <c r="J28" s="307">
        <f>'YEAR 2'!J28</f>
        <v>0</v>
      </c>
      <c r="K28" s="307"/>
      <c r="L28" s="385">
        <f>'YEAR 2'!L28</f>
        <v>0</v>
      </c>
      <c r="M28" s="306"/>
      <c r="N28" s="307">
        <f>'YEAR 2'!N28</f>
        <v>0</v>
      </c>
      <c r="O28" s="146"/>
      <c r="P28" s="724">
        <f>ROUND((VLOOKUP($D28,Salaries!$A$3:$I$370,9,FALSE)*H28*J28*(1+COLA/100)*(1+COLA/100))+(VLOOKUP($D28,Salaries!$A$3:$I$370,9,FALSE)*L28*N28*(1+COLA/100)*(1+COLA/100)),0)</f>
        <v>0</v>
      </c>
      <c r="Q28" s="724"/>
      <c r="T28" s="323"/>
      <c r="U28" s="385"/>
      <c r="V28" s="121"/>
      <c r="W28" s="121"/>
      <c r="X28" s="121"/>
      <c r="Y28" s="385"/>
      <c r="Z28" s="121"/>
      <c r="AA28" s="307"/>
      <c r="AC28" s="724">
        <f>ROUND((VLOOKUP($D28,Salaries!$A$3:$I$370,9,FALSE)*U28*W28*(1+COLA/100)*(1+COLA/100))+(VLOOKUP($D28,Salaries!$A$3:$I$370,9,FALSE)*Y28*AA28*(1+COLA/100)*(1+COLA/100)),0)</f>
        <v>0</v>
      </c>
      <c r="AD28" s="724"/>
      <c r="AE28" s="322"/>
      <c r="AH28" s="150">
        <f>U28+H28</f>
        <v>0</v>
      </c>
      <c r="AI28" s="150"/>
      <c r="AJ28" s="151">
        <f>W28+J28</f>
        <v>0</v>
      </c>
      <c r="AK28" s="152"/>
      <c r="AL28" s="150">
        <f>Y28+L28</f>
        <v>0</v>
      </c>
      <c r="AM28" s="150"/>
      <c r="AN28" s="151">
        <f>AA28+N28</f>
        <v>0</v>
      </c>
      <c r="AO28" s="109"/>
      <c r="AP28" s="765">
        <f>ROUND(SUM(P28:Q29)+SUM(AC28:AD29),0)</f>
        <v>0</v>
      </c>
      <c r="AQ28" s="765"/>
      <c r="AS28" s="323"/>
      <c r="AU28" s="322"/>
      <c r="BE28" s="107"/>
      <c r="BG28" s="108"/>
    </row>
    <row r="29" spans="3:59" ht="12.75" hidden="1" customHeight="1" x14ac:dyDescent="0.3">
      <c r="D29" s="106" t="str">
        <f>"Fringe @ "&amp;TEXT(FRINGE,"0.00%")</f>
        <v>Fringe @ 27.27%</v>
      </c>
      <c r="H29" s="121"/>
      <c r="I29" s="121"/>
      <c r="J29" s="121"/>
      <c r="K29" s="121"/>
      <c r="L29" s="121"/>
      <c r="M29" s="121"/>
      <c r="N29" s="121"/>
      <c r="O29" s="119"/>
      <c r="Q29" s="107">
        <f>ROUND(P28*FRINGE*(1+FrCOLA+FrCOLA),0)</f>
        <v>0</v>
      </c>
      <c r="T29" s="323"/>
      <c r="U29" s="121"/>
      <c r="V29" s="121"/>
      <c r="W29" s="121"/>
      <c r="X29" s="121"/>
      <c r="Y29" s="121"/>
      <c r="Z29" s="121"/>
      <c r="AA29" s="121"/>
      <c r="AD29" s="107">
        <f>ROUND(AC28*FRINGE*(1+FrCOLA+FrCOLA),0)</f>
        <v>0</v>
      </c>
      <c r="AE29" s="322"/>
      <c r="AH29" s="384"/>
      <c r="AI29" s="384"/>
      <c r="AJ29" s="384"/>
      <c r="AK29" s="384"/>
      <c r="AL29" s="383"/>
      <c r="AM29" s="383"/>
      <c r="AN29" s="383"/>
      <c r="AO29" s="109"/>
      <c r="AP29" s="765"/>
      <c r="AQ29" s="765"/>
      <c r="AS29" s="323"/>
      <c r="AU29" s="322"/>
      <c r="BE29" s="107"/>
      <c r="BG29" s="108"/>
    </row>
    <row r="30" spans="3:59" ht="3" hidden="1" customHeight="1" x14ac:dyDescent="0.3">
      <c r="H30" s="121"/>
      <c r="I30" s="121"/>
      <c r="J30" s="121"/>
      <c r="K30" s="121"/>
      <c r="L30" s="121"/>
      <c r="M30" s="121"/>
      <c r="N30" s="121"/>
      <c r="O30" s="119"/>
      <c r="T30" s="323"/>
      <c r="U30" s="121"/>
      <c r="V30" s="121"/>
      <c r="W30" s="121"/>
      <c r="X30" s="121"/>
      <c r="Y30" s="121"/>
      <c r="Z30" s="121"/>
      <c r="AA30" s="121"/>
      <c r="AD30" s="107"/>
      <c r="AE30" s="322"/>
      <c r="AH30" s="384"/>
      <c r="AI30" s="384"/>
      <c r="AJ30" s="384"/>
      <c r="AK30" s="384"/>
      <c r="AL30" s="383"/>
      <c r="AM30" s="383"/>
      <c r="AN30" s="383"/>
      <c r="AO30" s="109"/>
      <c r="AP30" s="608"/>
      <c r="AQ30" s="608"/>
      <c r="AS30" s="323"/>
      <c r="AU30" s="322"/>
      <c r="BE30" s="107"/>
      <c r="BG30" s="108"/>
    </row>
    <row r="31" spans="3:59" ht="14.25" hidden="1" customHeight="1" x14ac:dyDescent="0.3">
      <c r="D31" s="21">
        <f>'YEAR 2'!D31</f>
        <v>0</v>
      </c>
      <c r="F31" s="120">
        <f>ROUND((VLOOKUP(D31,Salaries!$A$3:$I$370,8,FALSE))*(1+COLA/100)*(1+COLA/100),0)</f>
        <v>0</v>
      </c>
      <c r="H31" s="385">
        <f>'YEAR 2'!H31</f>
        <v>0</v>
      </c>
      <c r="I31" s="306"/>
      <c r="J31" s="307">
        <f>'YEAR 2'!J31</f>
        <v>0</v>
      </c>
      <c r="K31" s="307"/>
      <c r="L31" s="385">
        <f>'YEAR 2'!L31</f>
        <v>0</v>
      </c>
      <c r="M31" s="306"/>
      <c r="N31" s="307">
        <f>'YEAR 2'!N31</f>
        <v>0</v>
      </c>
      <c r="O31" s="146"/>
      <c r="P31" s="724">
        <f>ROUND((VLOOKUP($D31,Salaries!$A$3:$I$370,9,FALSE)*H31*J31*(1+COLA/100)*(1+COLA/100))+(VLOOKUP($D31,Salaries!$A$3:$I$370,9,FALSE)*L31*N31*(1+COLA/100)*(1+COLA/100)),0)</f>
        <v>0</v>
      </c>
      <c r="Q31" s="724"/>
      <c r="T31" s="323"/>
      <c r="U31" s="385"/>
      <c r="V31" s="121"/>
      <c r="W31" s="121"/>
      <c r="X31" s="121"/>
      <c r="Y31" s="385"/>
      <c r="Z31" s="121"/>
      <c r="AA31" s="307"/>
      <c r="AC31" s="724">
        <f>ROUND((VLOOKUP($D31,Salaries!$A$3:$I$370,9,FALSE)*U31*W31*(1+COLA/100)*(1+COLA/100))+(VLOOKUP($D31,Salaries!$A$3:$I$370,9,FALSE)*Y31*AA31*(1+COLA/100)*(1+COLA/100)),0)</f>
        <v>0</v>
      </c>
      <c r="AD31" s="724"/>
      <c r="AE31" s="322"/>
      <c r="AH31" s="150">
        <f>U31+H31</f>
        <v>0</v>
      </c>
      <c r="AI31" s="150"/>
      <c r="AJ31" s="151">
        <f>W31+J31</f>
        <v>0</v>
      </c>
      <c r="AK31" s="152"/>
      <c r="AL31" s="150">
        <f>Y31+L31</f>
        <v>0</v>
      </c>
      <c r="AM31" s="150"/>
      <c r="AN31" s="151">
        <f>AA31+N31</f>
        <v>0</v>
      </c>
      <c r="AO31" s="109"/>
      <c r="AP31" s="765">
        <f>ROUND(SUM(P31:Q32)+SUM(AC31:AD32),0)</f>
        <v>0</v>
      </c>
      <c r="AQ31" s="765"/>
      <c r="AS31" s="323"/>
      <c r="AU31" s="322"/>
      <c r="BE31" s="107"/>
      <c r="BG31" s="108"/>
    </row>
    <row r="32" spans="3:59" ht="12.75" hidden="1" customHeight="1" x14ac:dyDescent="0.3">
      <c r="D32" s="106" t="str">
        <f>"Fringe @ "&amp;TEXT(FRINGE,"0.00%")</f>
        <v>Fringe @ 27.27%</v>
      </c>
      <c r="H32" s="121"/>
      <c r="I32" s="121"/>
      <c r="J32" s="121"/>
      <c r="K32" s="121"/>
      <c r="L32" s="121"/>
      <c r="M32" s="121"/>
      <c r="N32" s="121"/>
      <c r="O32" s="119"/>
      <c r="Q32" s="107">
        <f>ROUND(P31*FRINGE*(1+FrCOLA+FrCOLA),0)</f>
        <v>0</v>
      </c>
      <c r="T32" s="323"/>
      <c r="U32" s="121"/>
      <c r="V32" s="121"/>
      <c r="W32" s="121"/>
      <c r="X32" s="121"/>
      <c r="Y32" s="121"/>
      <c r="Z32" s="121"/>
      <c r="AA32" s="121"/>
      <c r="AD32" s="107">
        <f>ROUND(AC31*FRINGE*(1+FrCOLA+FrCOLA),0)</f>
        <v>0</v>
      </c>
      <c r="AE32" s="322"/>
      <c r="AH32" s="384"/>
      <c r="AI32" s="384"/>
      <c r="AJ32" s="384"/>
      <c r="AK32" s="384"/>
      <c r="AL32" s="383"/>
      <c r="AM32" s="383"/>
      <c r="AN32" s="383"/>
      <c r="AO32" s="109"/>
      <c r="AP32" s="765"/>
      <c r="AQ32" s="765"/>
      <c r="AS32" s="323"/>
      <c r="AU32" s="322"/>
      <c r="BE32" s="107"/>
      <c r="BG32" s="108"/>
    </row>
    <row r="33" spans="1:59" ht="3" hidden="1" customHeight="1" x14ac:dyDescent="0.3">
      <c r="H33" s="121"/>
      <c r="I33" s="121"/>
      <c r="J33" s="121"/>
      <c r="K33" s="121"/>
      <c r="L33" s="121"/>
      <c r="M33" s="121"/>
      <c r="N33" s="121"/>
      <c r="O33" s="122"/>
      <c r="T33" s="323"/>
      <c r="Y33" s="121"/>
      <c r="Z33" s="121"/>
      <c r="AA33" s="121"/>
      <c r="AD33" s="107"/>
      <c r="AE33" s="322"/>
      <c r="AH33" s="153"/>
      <c r="AI33" s="153"/>
      <c r="AJ33" s="153"/>
      <c r="AK33" s="109"/>
      <c r="AL33" s="152"/>
      <c r="AM33" s="152"/>
      <c r="AN33" s="152"/>
      <c r="AO33" s="109"/>
      <c r="AS33" s="323"/>
      <c r="AU33" s="322"/>
    </row>
    <row r="34" spans="1:59" ht="14.25" hidden="1" customHeight="1" x14ac:dyDescent="0.3">
      <c r="D34" s="21">
        <f>'YEAR 2'!D34</f>
        <v>0</v>
      </c>
      <c r="F34" s="120">
        <f>ROUND((VLOOKUP(D34,Salaries!$A$3:$I$370,8,FALSE))*(1+COLA/100)*(1+COLA/100),0)</f>
        <v>0</v>
      </c>
      <c r="H34" s="385">
        <f>'YEAR 2'!H34</f>
        <v>0</v>
      </c>
      <c r="I34" s="306"/>
      <c r="J34" s="307">
        <f>'YEAR 2'!J34</f>
        <v>0</v>
      </c>
      <c r="K34" s="307"/>
      <c r="L34" s="385">
        <f>'YEAR 2'!L34</f>
        <v>0</v>
      </c>
      <c r="M34" s="306"/>
      <c r="N34" s="307">
        <f>'YEAR 2'!N34</f>
        <v>0</v>
      </c>
      <c r="O34" s="146"/>
      <c r="P34" s="724">
        <f>ROUND((VLOOKUP($D34,Salaries!$A$3:$I$370,9,FALSE)*H34*J34*(1+COLA/100)*(1+COLA/100))+(VLOOKUP($D34,Salaries!$A$3:$I$370,9,FALSE)*L34*N34*(1+COLA/100)*(1+COLA/100)),0)</f>
        <v>0</v>
      </c>
      <c r="Q34" s="724"/>
      <c r="T34" s="323"/>
      <c r="U34" s="385"/>
      <c r="V34" s="306"/>
      <c r="W34" s="307"/>
      <c r="X34" s="307"/>
      <c r="Y34" s="385"/>
      <c r="Z34" s="305"/>
      <c r="AA34" s="307"/>
      <c r="AC34" s="724">
        <f>ROUND((VLOOKUP($D34,Salaries!$A$3:$I$370,9,FALSE)*U34*W34*(1+COLA/100)*(1+COLA/100))+(VLOOKUP($D34,Salaries!$A$3:$I$370,9,FALSE)*Y34*AA34*(1+COLA/100)*(1+COLA/100)),0)</f>
        <v>0</v>
      </c>
      <c r="AD34" s="724"/>
      <c r="AE34" s="322"/>
      <c r="AH34" s="150">
        <f>U34+H34</f>
        <v>0</v>
      </c>
      <c r="AI34" s="150"/>
      <c r="AJ34" s="151">
        <f>W34+J34</f>
        <v>0</v>
      </c>
      <c r="AK34" s="152"/>
      <c r="AL34" s="150">
        <f>Y34+L34</f>
        <v>0</v>
      </c>
      <c r="AM34" s="150"/>
      <c r="AN34" s="151">
        <f>AA34+N34</f>
        <v>0</v>
      </c>
      <c r="AO34" s="109"/>
      <c r="AP34" s="765">
        <f>ROUND(SUM(P34:Q35)+SUM(AC34:AD35),0)</f>
        <v>0</v>
      </c>
      <c r="AQ34" s="765"/>
      <c r="AS34" s="323"/>
      <c r="AU34" s="322"/>
      <c r="AW34" s="107">
        <f>P34</f>
        <v>0</v>
      </c>
      <c r="AY34" s="107">
        <f>ROUND(AC34,0)</f>
        <v>0</v>
      </c>
      <c r="BA34" s="108">
        <f>ROUND(AY34+AW34,0)</f>
        <v>0</v>
      </c>
    </row>
    <row r="35" spans="1:59" ht="12.75" hidden="1" customHeight="1" x14ac:dyDescent="0.3">
      <c r="D35" s="106" t="str">
        <f>"Fringe @ "&amp;TEXT(FRINGE,"0.00%")</f>
        <v>Fringe @ 27.27%</v>
      </c>
      <c r="H35" s="121"/>
      <c r="I35" s="121"/>
      <c r="J35" s="121"/>
      <c r="K35" s="121"/>
      <c r="L35" s="121"/>
      <c r="M35" s="121"/>
      <c r="N35" s="121"/>
      <c r="O35" s="119"/>
      <c r="Q35" s="107">
        <f>ROUND(P34*FRINGE*(1+FrCOLA+FrCOLA),0)</f>
        <v>0</v>
      </c>
      <c r="T35" s="323"/>
      <c r="U35" s="121"/>
      <c r="V35" s="121"/>
      <c r="W35" s="121"/>
      <c r="X35" s="121"/>
      <c r="Y35" s="121"/>
      <c r="Z35" s="121"/>
      <c r="AA35" s="121"/>
      <c r="AD35" s="107">
        <f>ROUND(AC34*FRINGE*(1+FrCOLA+FrCOLA),0)</f>
        <v>0</v>
      </c>
      <c r="AE35" s="322"/>
      <c r="AH35" s="152"/>
      <c r="AI35" s="152"/>
      <c r="AJ35" s="152"/>
      <c r="AK35" s="152"/>
      <c r="AL35" s="150"/>
      <c r="AM35" s="150"/>
      <c r="AN35" s="150"/>
      <c r="AO35" s="109"/>
      <c r="AP35" s="765"/>
      <c r="AQ35" s="765"/>
      <c r="AS35" s="323"/>
      <c r="AU35" s="322"/>
      <c r="BC35" s="107">
        <f>ROUND(Q35,0)</f>
        <v>0</v>
      </c>
      <c r="BE35" s="107">
        <f>ROUND(AD35,0)</f>
        <v>0</v>
      </c>
      <c r="BG35" s="108">
        <f>ROUND(BE35+BC35,0)</f>
        <v>0</v>
      </c>
    </row>
    <row r="36" spans="1:59" ht="3" hidden="1" customHeight="1" x14ac:dyDescent="0.3">
      <c r="D36" s="115"/>
      <c r="E36" s="115"/>
      <c r="F36" s="116"/>
      <c r="G36" s="116"/>
      <c r="O36" s="117"/>
      <c r="T36" s="323"/>
      <c r="AD36" s="107"/>
      <c r="AE36" s="322"/>
      <c r="AH36" s="109"/>
      <c r="AI36" s="109"/>
      <c r="AJ36" s="109"/>
      <c r="AK36" s="109"/>
      <c r="AL36" s="153"/>
      <c r="AM36" s="153"/>
      <c r="AN36" s="153"/>
      <c r="AO36" s="109"/>
      <c r="AS36" s="323"/>
      <c r="AU36" s="322"/>
    </row>
    <row r="37" spans="1:59" ht="14.25" hidden="1" customHeight="1" x14ac:dyDescent="0.3">
      <c r="D37" s="21">
        <f>'YEAR 2'!D37</f>
        <v>0</v>
      </c>
      <c r="F37" s="120">
        <f>ROUND((VLOOKUP(D37,Salaries!$A$3:$I$370,8,FALSE))*(1+COLA/100)*(1+COLA/100),0)</f>
        <v>0</v>
      </c>
      <c r="H37" s="385">
        <f>'YEAR 2'!H37</f>
        <v>0</v>
      </c>
      <c r="I37" s="306"/>
      <c r="J37" s="307">
        <f>'YEAR 2'!J37</f>
        <v>0</v>
      </c>
      <c r="K37" s="307"/>
      <c r="L37" s="385">
        <f>'YEAR 2'!L37</f>
        <v>0</v>
      </c>
      <c r="M37" s="306"/>
      <c r="N37" s="307">
        <f>'YEAR 2'!N37</f>
        <v>0</v>
      </c>
      <c r="O37" s="146"/>
      <c r="P37" s="724">
        <f>ROUND((VLOOKUP($D37,Salaries!$A$3:$I$370,9,FALSE)*H37*J37*(1+COLA/100)*(1+COLA/100))+(VLOOKUP($D37,Salaries!$A$3:$I$370,9,FALSE)*L37*N37*(1+COLA/100)*(1+COLA/100)),0)</f>
        <v>0</v>
      </c>
      <c r="Q37" s="724"/>
      <c r="T37" s="323"/>
      <c r="U37" s="385"/>
      <c r="V37" s="306"/>
      <c r="W37" s="307"/>
      <c r="X37" s="307"/>
      <c r="Y37" s="385"/>
      <c r="Z37" s="305"/>
      <c r="AA37" s="307"/>
      <c r="AC37" s="724">
        <f>ROUND((VLOOKUP($D37,Salaries!$A$3:$I$370,9,FALSE)*U37*W37*(1+COLA/100)*(1+COLA/100))+(VLOOKUP($D37,Salaries!$A$3:$I$370,9,FALSE)*Y37*AA37*(1+COLA/100)*(1+COLA/100)),0)</f>
        <v>0</v>
      </c>
      <c r="AD37" s="724"/>
      <c r="AE37" s="322"/>
      <c r="AH37" s="150">
        <f>U37+H37</f>
        <v>0</v>
      </c>
      <c r="AI37" s="150"/>
      <c r="AJ37" s="151">
        <f>W37+J37</f>
        <v>0</v>
      </c>
      <c r="AK37" s="152"/>
      <c r="AL37" s="150">
        <f>Y37+L37</f>
        <v>0</v>
      </c>
      <c r="AM37" s="150"/>
      <c r="AN37" s="151">
        <f>AA37+N37</f>
        <v>0</v>
      </c>
      <c r="AO37" s="109"/>
      <c r="AP37" s="765">
        <f>ROUND(SUM(P37:Q38)+SUM(AC37:AD38),0)</f>
        <v>0</v>
      </c>
      <c r="AQ37" s="765"/>
      <c r="AS37" s="323"/>
      <c r="AU37" s="322"/>
      <c r="AW37" s="107">
        <f>P37</f>
        <v>0</v>
      </c>
      <c r="AY37" s="107">
        <f>ROUND(AC37,0)</f>
        <v>0</v>
      </c>
      <c r="BA37" s="108">
        <f>ROUND(AY37+AW37,0)</f>
        <v>0</v>
      </c>
    </row>
    <row r="38" spans="1:59" ht="12.75" hidden="1" customHeight="1" x14ac:dyDescent="0.3">
      <c r="D38" s="106" t="str">
        <f>"Fringe @ "&amp;TEXT(FRINGE,"0.00%")</f>
        <v>Fringe @ 27.27%</v>
      </c>
      <c r="H38" s="121"/>
      <c r="I38" s="121"/>
      <c r="J38" s="121"/>
      <c r="K38" s="121"/>
      <c r="L38" s="121"/>
      <c r="M38" s="121"/>
      <c r="N38" s="121"/>
      <c r="O38" s="119"/>
      <c r="Q38" s="107">
        <f>ROUND(P37*FRINGE*(1+FrCOLA+FrCOLA),0)</f>
        <v>0</v>
      </c>
      <c r="T38" s="323"/>
      <c r="U38" s="121"/>
      <c r="V38" s="121"/>
      <c r="W38" s="121"/>
      <c r="X38" s="121"/>
      <c r="Y38" s="121"/>
      <c r="Z38" s="121"/>
      <c r="AA38" s="121"/>
      <c r="AD38" s="107">
        <f>ROUND(AC37*FRINGE*(1+FrCOLA+FrCOLA),0)</f>
        <v>0</v>
      </c>
      <c r="AE38" s="322"/>
      <c r="AH38" s="152"/>
      <c r="AI38" s="152"/>
      <c r="AJ38" s="152"/>
      <c r="AK38" s="152"/>
      <c r="AL38" s="150"/>
      <c r="AM38" s="150"/>
      <c r="AN38" s="150"/>
      <c r="AO38" s="109"/>
      <c r="AP38" s="765"/>
      <c r="AQ38" s="765"/>
      <c r="AS38" s="323"/>
      <c r="AU38" s="322"/>
      <c r="BC38" s="107">
        <f>ROUND(Q38,0)</f>
        <v>0</v>
      </c>
      <c r="BE38" s="107">
        <f>ROUND(AD38,0)</f>
        <v>0</v>
      </c>
      <c r="BG38" s="108">
        <f>ROUND(BE38+BC38,0)</f>
        <v>0</v>
      </c>
    </row>
    <row r="39" spans="1:59" ht="3" hidden="1" customHeight="1" x14ac:dyDescent="0.3">
      <c r="D39" s="115"/>
      <c r="E39" s="115"/>
      <c r="F39" s="116"/>
      <c r="G39" s="116"/>
      <c r="H39" s="121"/>
      <c r="I39" s="121"/>
      <c r="J39" s="121"/>
      <c r="K39" s="121"/>
      <c r="L39" s="121"/>
      <c r="M39" s="121"/>
      <c r="N39" s="121"/>
      <c r="O39" s="124"/>
      <c r="T39" s="323"/>
      <c r="Y39" s="123"/>
      <c r="Z39" s="123"/>
      <c r="AA39" s="123"/>
      <c r="AD39" s="107"/>
      <c r="AE39" s="322"/>
      <c r="AH39" s="109"/>
      <c r="AI39" s="109"/>
      <c r="AJ39" s="109"/>
      <c r="AK39" s="109"/>
      <c r="AL39" s="154"/>
      <c r="AM39" s="154"/>
      <c r="AN39" s="154"/>
      <c r="AO39" s="109"/>
      <c r="AS39" s="323"/>
      <c r="AU39" s="322"/>
    </row>
    <row r="40" spans="1:59" ht="14.25" hidden="1" customHeight="1" x14ac:dyDescent="0.3">
      <c r="D40" s="21">
        <f>'YEAR 2'!D40</f>
        <v>0</v>
      </c>
      <c r="F40" s="120">
        <f>ROUND((VLOOKUP(D40,Salaries!$A$3:$I$370,8,FALSE))*(1+COLA/100)*(1+COLA/100),0)</f>
        <v>0</v>
      </c>
      <c r="H40" s="385">
        <f>'YEAR 2'!H40</f>
        <v>0</v>
      </c>
      <c r="I40" s="306"/>
      <c r="J40" s="307">
        <f>'YEAR 2'!J40</f>
        <v>0</v>
      </c>
      <c r="K40" s="307"/>
      <c r="L40" s="385">
        <f>'YEAR 2'!L40</f>
        <v>0</v>
      </c>
      <c r="M40" s="306"/>
      <c r="N40" s="307">
        <f>'YEAR 2'!N40</f>
        <v>0</v>
      </c>
      <c r="O40" s="146"/>
      <c r="P40" s="724">
        <f>ROUND((VLOOKUP($D40,Salaries!$A$3:$I$370,9,FALSE)*H40*J40*(1+COLA/100)*(1+COLA/100))+(VLOOKUP($D40,Salaries!$A$3:$I$370,9,FALSE)*L40*N40*(1+COLA/100)*(1+COLA/100)),0)</f>
        <v>0</v>
      </c>
      <c r="Q40" s="724"/>
      <c r="T40" s="323"/>
      <c r="U40" s="385"/>
      <c r="V40" s="306"/>
      <c r="W40" s="307"/>
      <c r="X40" s="307"/>
      <c r="Y40" s="385"/>
      <c r="Z40" s="305"/>
      <c r="AA40" s="307"/>
      <c r="AC40" s="724">
        <f>ROUND((VLOOKUP($D40,Salaries!$A$3:$I$370,9,FALSE)*U40*W40*(1+COLA/100)*(1+COLA/100))+(VLOOKUP($D40,Salaries!$A$3:$I$370,9,FALSE)*Y40*AA40*(1+COLA/100)*(1+COLA/100)),0)</f>
        <v>0</v>
      </c>
      <c r="AD40" s="724"/>
      <c r="AE40" s="322"/>
      <c r="AH40" s="150">
        <f>U40+H40</f>
        <v>0</v>
      </c>
      <c r="AI40" s="150"/>
      <c r="AJ40" s="151">
        <f>W40+J40</f>
        <v>0</v>
      </c>
      <c r="AK40" s="152"/>
      <c r="AL40" s="150">
        <f>Y40+L40</f>
        <v>0</v>
      </c>
      <c r="AM40" s="150"/>
      <c r="AN40" s="151">
        <f>AA40+N40</f>
        <v>0</v>
      </c>
      <c r="AO40" s="109"/>
      <c r="AP40" s="765">
        <f>ROUND(SUM(P40:Q41)+SUM(AC40:AD41),0)</f>
        <v>0</v>
      </c>
      <c r="AQ40" s="765"/>
      <c r="AS40" s="519"/>
      <c r="AU40" s="322"/>
      <c r="AW40" s="107">
        <f>P40</f>
        <v>0</v>
      </c>
      <c r="AY40" s="107">
        <f>ROUND(AC40,0)</f>
        <v>0</v>
      </c>
      <c r="BA40" s="108">
        <f>ROUND(AY40+AW40,0)</f>
        <v>0</v>
      </c>
    </row>
    <row r="41" spans="1:59" ht="12.75" hidden="1" customHeight="1" x14ac:dyDescent="0.3">
      <c r="D41" s="106" t="str">
        <f>"Fringe @ "&amp;TEXT(FRINGE,"0.00%")</f>
        <v>Fringe @ 27.27%</v>
      </c>
      <c r="H41" s="121"/>
      <c r="I41" s="121"/>
      <c r="J41" s="121"/>
      <c r="K41" s="122"/>
      <c r="L41" s="121"/>
      <c r="M41" s="121"/>
      <c r="N41" s="121"/>
      <c r="O41" s="119"/>
      <c r="Q41" s="107">
        <f>ROUND(P40*FRINGE*(1+FrCOLA+FrCOLA),0)</f>
        <v>0</v>
      </c>
      <c r="T41" s="323"/>
      <c r="U41" s="121"/>
      <c r="V41" s="121"/>
      <c r="W41" s="121"/>
      <c r="X41" s="122"/>
      <c r="Y41" s="121"/>
      <c r="Z41" s="121"/>
      <c r="AA41" s="121"/>
      <c r="AD41" s="107">
        <f>ROUND(AC40*FRINGE*(1+FrCOLA+FrCOLA),0)</f>
        <v>0</v>
      </c>
      <c r="AE41" s="322"/>
      <c r="AH41" s="152"/>
      <c r="AI41" s="152"/>
      <c r="AJ41" s="152"/>
      <c r="AK41" s="152"/>
      <c r="AL41" s="150"/>
      <c r="AM41" s="150"/>
      <c r="AN41" s="150"/>
      <c r="AO41" s="109"/>
      <c r="AP41" s="765"/>
      <c r="AQ41" s="765"/>
      <c r="AS41" s="323"/>
      <c r="AU41" s="322"/>
      <c r="BC41" s="107">
        <f>ROUND(Q41,0)</f>
        <v>0</v>
      </c>
      <c r="BE41" s="107">
        <f>ROUND(AD41,0)</f>
        <v>0</v>
      </c>
      <c r="BG41" s="108">
        <f>ROUND(BE41+BC41,0)</f>
        <v>0</v>
      </c>
    </row>
    <row r="42" spans="1:59" ht="3" hidden="1" customHeight="1" x14ac:dyDescent="0.3">
      <c r="B42" s="134"/>
      <c r="C42" s="134"/>
      <c r="D42" s="134"/>
      <c r="E42" s="134"/>
      <c r="F42" s="134"/>
      <c r="G42" s="134"/>
      <c r="H42" s="134"/>
      <c r="I42" s="134"/>
      <c r="J42" s="134"/>
      <c r="K42" s="134"/>
      <c r="L42" s="134"/>
      <c r="M42" s="134"/>
      <c r="N42" s="134"/>
      <c r="O42" s="135"/>
      <c r="P42" s="736"/>
      <c r="Q42" s="736"/>
      <c r="R42" s="134"/>
      <c r="S42" s="134"/>
      <c r="T42" s="325"/>
      <c r="U42" s="134"/>
      <c r="V42" s="134"/>
      <c r="W42" s="134"/>
      <c r="X42" s="134"/>
      <c r="Y42" s="134"/>
      <c r="Z42" s="134"/>
      <c r="AA42" s="134"/>
      <c r="AB42" s="134"/>
      <c r="AC42" s="736"/>
      <c r="AD42" s="736"/>
      <c r="AE42" s="326"/>
      <c r="AF42" s="134"/>
      <c r="AG42" s="134"/>
      <c r="AH42" s="134"/>
      <c r="AI42" s="134"/>
      <c r="AJ42" s="134"/>
      <c r="AK42" s="134"/>
      <c r="AL42" s="134"/>
      <c r="AM42" s="134"/>
      <c r="AN42" s="134"/>
      <c r="AO42" s="134"/>
      <c r="AP42" s="763"/>
      <c r="AQ42" s="763"/>
      <c r="AS42" s="323"/>
      <c r="AU42" s="322"/>
    </row>
    <row r="43" spans="1:59" x14ac:dyDescent="0.3">
      <c r="B43" s="158" t="str">
        <f>CONCATENATE("TOTAL ",B12)</f>
        <v>TOTAL SENIOR PERSONNEL</v>
      </c>
      <c r="C43" s="159"/>
      <c r="D43" s="160"/>
      <c r="E43" s="160"/>
      <c r="F43" s="161"/>
      <c r="G43" s="161"/>
      <c r="H43" s="159"/>
      <c r="I43" s="159"/>
      <c r="J43" s="159"/>
      <c r="K43" s="159"/>
      <c r="L43" s="159"/>
      <c r="M43" s="159"/>
      <c r="N43" s="159"/>
      <c r="O43" s="159"/>
      <c r="P43" s="761">
        <f>ROUND(SUM(P13:Q42),0)</f>
        <v>0</v>
      </c>
      <c r="Q43" s="761"/>
      <c r="R43" s="159"/>
      <c r="S43" s="159"/>
      <c r="T43" s="327"/>
      <c r="U43" s="159"/>
      <c r="V43" s="159"/>
      <c r="W43" s="159"/>
      <c r="X43" s="159"/>
      <c r="Y43" s="159"/>
      <c r="Z43" s="159"/>
      <c r="AA43" s="159"/>
      <c r="AB43" s="159"/>
      <c r="AC43" s="312"/>
      <c r="AD43" s="292">
        <f>ROUND(SUM(AC13:AD42),0)</f>
        <v>0</v>
      </c>
      <c r="AE43" s="328"/>
      <c r="AF43" s="159"/>
      <c r="AG43" s="159"/>
      <c r="AH43" s="162">
        <f>SUM(AH13:AH42)</f>
        <v>0</v>
      </c>
      <c r="AI43" s="159"/>
      <c r="AJ43" s="163">
        <f>SUM(AJ12:AJ42)</f>
        <v>0</v>
      </c>
      <c r="AK43" s="159"/>
      <c r="AL43" s="162">
        <f>SUM(AL13:AL42)</f>
        <v>0</v>
      </c>
      <c r="AM43" s="159"/>
      <c r="AN43" s="163">
        <f>SUM(AN12:AN42)</f>
        <v>1</v>
      </c>
      <c r="AO43" s="159"/>
      <c r="AP43" s="288"/>
      <c r="AQ43" s="292">
        <f>ROUND(SUM(AP13:AQ42),0)</f>
        <v>0</v>
      </c>
      <c r="AS43" s="323"/>
      <c r="AU43" s="322"/>
      <c r="BE43" s="107"/>
      <c r="BG43" s="108"/>
    </row>
    <row r="44" spans="1:59" ht="3" customHeight="1" x14ac:dyDescent="0.3">
      <c r="T44" s="323"/>
      <c r="AE44" s="322"/>
      <c r="AS44" s="323"/>
      <c r="AU44" s="322"/>
    </row>
    <row r="45" spans="1:59" x14ac:dyDescent="0.3">
      <c r="A45" s="109" t="s">
        <v>182</v>
      </c>
      <c r="B45" s="127" t="s">
        <v>799</v>
      </c>
      <c r="L45" s="385"/>
      <c r="T45" s="323"/>
      <c r="AE45" s="322"/>
      <c r="AS45" s="323"/>
      <c r="AU45" s="322"/>
    </row>
    <row r="46" spans="1:59" ht="14.25" hidden="1" customHeight="1" x14ac:dyDescent="0.3">
      <c r="B46" s="113"/>
      <c r="C46" s="125">
        <v>1</v>
      </c>
      <c r="D46" s="21" t="str">
        <f>'YEAR 2'!D46</f>
        <v>Lab Technician, Senior Level</v>
      </c>
      <c r="F46" s="120">
        <f>(VLOOKUP(D46,Salaries!$A$3:$I$370,8,FALSE)*(1+COLA/100)*(1+COLA/100))</f>
        <v>66450.986443982008</v>
      </c>
      <c r="H46" s="385"/>
      <c r="I46" s="306"/>
      <c r="J46" s="307"/>
      <c r="K46" s="307"/>
      <c r="L46" s="385"/>
      <c r="M46" s="306"/>
      <c r="N46" s="307"/>
      <c r="O46" s="146"/>
      <c r="P46" s="724">
        <f>ROUND(F46/12*H46*J46+F46/12*L46*N46, 0)*C46</f>
        <v>0</v>
      </c>
      <c r="Q46" s="724"/>
      <c r="T46" s="323"/>
      <c r="U46" s="385"/>
      <c r="V46" s="121"/>
      <c r="W46" s="307"/>
      <c r="X46" s="121"/>
      <c r="Y46" s="385"/>
      <c r="Z46" s="121"/>
      <c r="AA46" s="307"/>
      <c r="AC46" s="724">
        <f>ROUND((F46/12*U46*W46)+(F46/12*Y46*AA46),0)</f>
        <v>0</v>
      </c>
      <c r="AD46" s="724"/>
      <c r="AE46" s="322"/>
      <c r="AH46" s="150">
        <f>U46+H46</f>
        <v>0</v>
      </c>
      <c r="AI46" s="150"/>
      <c r="AJ46" s="151">
        <f>W46+J46</f>
        <v>0</v>
      </c>
      <c r="AK46" s="152"/>
      <c r="AL46" s="150">
        <f>Y46+L46</f>
        <v>0</v>
      </c>
      <c r="AM46" s="150"/>
      <c r="AN46" s="151">
        <f>AA46+N46</f>
        <v>0</v>
      </c>
      <c r="AO46" s="109"/>
      <c r="AP46" s="765">
        <f>ROUND(SUM(P46:Q47)+SUM(AC46:AD47),0)</f>
        <v>0</v>
      </c>
      <c r="AQ46" s="765"/>
      <c r="AS46" s="323"/>
      <c r="AU46" s="322"/>
      <c r="AW46" s="107">
        <f>P46</f>
        <v>0</v>
      </c>
      <c r="AY46" s="107">
        <f>ROUND(AC46,0)</f>
        <v>0</v>
      </c>
      <c r="BA46" s="108">
        <f>ROUND(AY46+AW46,0)</f>
        <v>0</v>
      </c>
    </row>
    <row r="47" spans="1:59" ht="12.75" hidden="1" customHeight="1" x14ac:dyDescent="0.3">
      <c r="B47" s="119"/>
      <c r="C47" s="125"/>
      <c r="D47" s="106" t="str">
        <f>"Fringe @ "&amp;TEXT(FRINGE,"0.00%")</f>
        <v>Fringe @ 27.27%</v>
      </c>
      <c r="H47" s="121"/>
      <c r="I47" s="121"/>
      <c r="J47" s="121"/>
      <c r="K47" s="121"/>
      <c r="L47" s="121"/>
      <c r="M47" s="121"/>
      <c r="N47" s="121"/>
      <c r="O47" s="119"/>
      <c r="Q47" s="107">
        <f>ROUND(P46*FRINGE*(1+FrCOLA+FrCOLA),0)</f>
        <v>0</v>
      </c>
      <c r="T47" s="323"/>
      <c r="U47" s="461"/>
      <c r="V47" s="121"/>
      <c r="W47" s="121"/>
      <c r="X47" s="121"/>
      <c r="Y47" s="461"/>
      <c r="Z47" s="121"/>
      <c r="AA47" s="121"/>
      <c r="AD47" s="107">
        <f>ROUND(AC46*FRINGE*(1+FrCOLA+FrCOLA),0)</f>
        <v>0</v>
      </c>
      <c r="AE47" s="322"/>
      <c r="AH47" s="150"/>
      <c r="AI47" s="150"/>
      <c r="AJ47" s="150"/>
      <c r="AK47" s="152"/>
      <c r="AL47" s="150"/>
      <c r="AM47" s="150"/>
      <c r="AN47" s="150"/>
      <c r="AO47" s="109"/>
      <c r="AP47" s="765"/>
      <c r="AQ47" s="765"/>
      <c r="AS47" s="323"/>
      <c r="AU47" s="322"/>
      <c r="BC47" s="107">
        <f>ROUND(Q47,0)</f>
        <v>0</v>
      </c>
      <c r="BE47" s="107">
        <f>ROUND(AD47,0)</f>
        <v>0</v>
      </c>
      <c r="BG47" s="108">
        <f>ROUND(BE47+BC47,0)</f>
        <v>0</v>
      </c>
    </row>
    <row r="48" spans="1:59" ht="3" hidden="1" customHeight="1" x14ac:dyDescent="0.3">
      <c r="C48" s="125"/>
      <c r="D48" s="115"/>
      <c r="E48" s="115"/>
      <c r="F48" s="116"/>
      <c r="G48" s="116"/>
      <c r="H48" s="121"/>
      <c r="I48" s="121"/>
      <c r="J48" s="121"/>
      <c r="K48" s="121"/>
      <c r="L48" s="121"/>
      <c r="M48" s="121"/>
      <c r="N48" s="121"/>
      <c r="O48" s="119"/>
      <c r="T48" s="323"/>
      <c r="U48" s="461"/>
      <c r="V48" s="121"/>
      <c r="W48" s="121"/>
      <c r="X48" s="121"/>
      <c r="Y48" s="461"/>
      <c r="Z48" s="121"/>
      <c r="AA48" s="121"/>
      <c r="AD48" s="107"/>
      <c r="AE48" s="322"/>
      <c r="AH48" s="150"/>
      <c r="AI48" s="150"/>
      <c r="AJ48" s="150"/>
      <c r="AK48" s="152"/>
      <c r="AL48" s="150"/>
      <c r="AM48" s="150"/>
      <c r="AN48" s="150"/>
      <c r="AO48" s="109"/>
      <c r="AP48" s="608"/>
      <c r="AQ48" s="608"/>
      <c r="AS48" s="323"/>
      <c r="AU48" s="322"/>
    </row>
    <row r="49" spans="1:59" ht="14.25" hidden="1" customHeight="1" x14ac:dyDescent="0.3">
      <c r="B49" s="113"/>
      <c r="C49" s="125">
        <v>1</v>
      </c>
      <c r="D49" s="21" t="str">
        <f>'YEAR 2'!D49</f>
        <v>PhD Post Doc</v>
      </c>
      <c r="F49" s="120">
        <f>(VLOOKUP(D49,Salaries!$A$3:$I$370,8,FALSE)*(1+COLA/100)*(1+COLA/100))</f>
        <v>57980.094620000011</v>
      </c>
      <c r="H49" s="385"/>
      <c r="I49" s="306"/>
      <c r="J49" s="307"/>
      <c r="K49" s="307"/>
      <c r="L49" s="385"/>
      <c r="M49" s="306"/>
      <c r="N49" s="307"/>
      <c r="O49" s="146"/>
      <c r="P49" s="724">
        <f>ROUND((VLOOKUP($D49,Salaries!$A$3:$I$370,9,FALSE)*H49*J49*(1+COLA/100)*(1+COLA/100))+(VLOOKUP($D49,Salaries!$A$3:$I$370,9,FALSE)*L49*N49*(1+COLA/100)*(1+COLA/100)),0)*C49</f>
        <v>0</v>
      </c>
      <c r="Q49" s="724"/>
      <c r="T49" s="323"/>
      <c r="U49" s="385"/>
      <c r="V49" s="306"/>
      <c r="W49" s="307"/>
      <c r="X49" s="307"/>
      <c r="Y49" s="385"/>
      <c r="Z49" s="305"/>
      <c r="AA49" s="307"/>
      <c r="AC49" s="724">
        <f>ROUND((VLOOKUP($D49,Salaries!$A$3:$I$370,9,FALSE)*U49*W49*(1+COLA/100)*(1+COLA/100))+(VLOOKUP($D49,Salaries!$A$3:$I$370,9,FALSE)*Y49*AA49*(1+COLA/100)*(1+COLA/100)),0)*P49</f>
        <v>0</v>
      </c>
      <c r="AD49" s="724"/>
      <c r="AE49" s="322"/>
      <c r="AH49" s="150">
        <f>U49+H49</f>
        <v>0</v>
      </c>
      <c r="AI49" s="150"/>
      <c r="AJ49" s="151">
        <f>W49+J49</f>
        <v>0</v>
      </c>
      <c r="AK49" s="152"/>
      <c r="AL49" s="150">
        <f>Y49+L49</f>
        <v>0</v>
      </c>
      <c r="AM49" s="150"/>
      <c r="AN49" s="151">
        <f>AA49+N49</f>
        <v>0</v>
      </c>
      <c r="AO49" s="109"/>
      <c r="AP49" s="765">
        <f>ROUND(SUM(P49:Q50)+SUM(AC49:AD50),0)</f>
        <v>0</v>
      </c>
      <c r="AQ49" s="765"/>
      <c r="AS49" s="323"/>
      <c r="AU49" s="322"/>
      <c r="AW49" s="107">
        <f>P49</f>
        <v>0</v>
      </c>
      <c r="AY49" s="107">
        <f>ROUND(AC49,0)</f>
        <v>0</v>
      </c>
      <c r="BA49" s="108">
        <f>ROUND(AY49+AW49,0)</f>
        <v>0</v>
      </c>
    </row>
    <row r="50" spans="1:59" ht="12.75" hidden="1" customHeight="1" x14ac:dyDescent="0.3">
      <c r="C50" s="125"/>
      <c r="D50" s="106" t="str">
        <f>"Fringe @ "&amp;TEXT(FRINGE,"0.00%")</f>
        <v>Fringe @ 27.27%</v>
      </c>
      <c r="H50" s="121"/>
      <c r="I50" s="121"/>
      <c r="J50" s="121"/>
      <c r="K50" s="121"/>
      <c r="L50" s="121"/>
      <c r="M50" s="121"/>
      <c r="N50" s="121"/>
      <c r="O50" s="119"/>
      <c r="Q50" s="107">
        <f>ROUND(P49*FRINGE*(1+FrCOLA+FrCOLA),0)</f>
        <v>0</v>
      </c>
      <c r="T50" s="323"/>
      <c r="U50" s="121"/>
      <c r="V50" s="121"/>
      <c r="W50" s="121"/>
      <c r="X50" s="121"/>
      <c r="Y50" s="121"/>
      <c r="Z50" s="121"/>
      <c r="AA50" s="121"/>
      <c r="AD50" s="107">
        <f>ROUND(AC49*FRINGE*(1+FrCOLA+FrCOLA),0)</f>
        <v>0</v>
      </c>
      <c r="AE50" s="322"/>
      <c r="AH50" s="152"/>
      <c r="AI50" s="152"/>
      <c r="AJ50" s="152"/>
      <c r="AK50" s="152"/>
      <c r="AL50" s="150"/>
      <c r="AM50" s="150"/>
      <c r="AN50" s="150"/>
      <c r="AO50" s="109"/>
      <c r="AP50" s="765"/>
      <c r="AQ50" s="765"/>
      <c r="AS50" s="323"/>
      <c r="AU50" s="322"/>
      <c r="BC50" s="107">
        <f>ROUND(Q50,0)</f>
        <v>0</v>
      </c>
      <c r="BE50" s="107">
        <f>ROUND(AD50,0)</f>
        <v>0</v>
      </c>
      <c r="BG50" s="108">
        <f>ROUND(BE50+BC50,0)</f>
        <v>0</v>
      </c>
    </row>
    <row r="51" spans="1:59" ht="3" customHeight="1" x14ac:dyDescent="0.3">
      <c r="B51" s="127"/>
      <c r="C51" s="125"/>
      <c r="H51" s="121"/>
      <c r="I51" s="121"/>
      <c r="J51" s="121"/>
      <c r="K51" s="121"/>
      <c r="L51" s="121"/>
      <c r="M51" s="121"/>
      <c r="N51" s="121"/>
      <c r="O51" s="119"/>
      <c r="T51" s="323"/>
      <c r="U51" s="121"/>
      <c r="V51" s="121"/>
      <c r="W51" s="121"/>
      <c r="X51" s="121"/>
      <c r="Y51" s="121"/>
      <c r="Z51" s="121"/>
      <c r="AA51" s="121"/>
      <c r="AD51" s="107"/>
      <c r="AE51" s="322"/>
      <c r="AH51" s="152"/>
      <c r="AI51" s="152"/>
      <c r="AJ51" s="152"/>
      <c r="AK51" s="152"/>
      <c r="AL51" s="150"/>
      <c r="AM51" s="150"/>
      <c r="AN51" s="150"/>
      <c r="AO51" s="109"/>
      <c r="AS51" s="323"/>
      <c r="AU51" s="322"/>
    </row>
    <row r="52" spans="1:59" ht="14.25" customHeight="1" x14ac:dyDescent="0.3">
      <c r="B52" s="113"/>
      <c r="C52" s="125">
        <v>1</v>
      </c>
      <c r="D52" s="21" t="str">
        <f>'YEAR 2'!D52</f>
        <v>Graduate Student</v>
      </c>
      <c r="E52" s="391"/>
      <c r="F52" s="120">
        <f>ROUND((VLOOKUP(D52,Salaries!$A$3:$I$370,8,FALSE))*(1+COLA/100)*(1+COLA/100),0)</f>
        <v>55652</v>
      </c>
      <c r="G52" s="390"/>
      <c r="H52" s="385"/>
      <c r="I52" s="306"/>
      <c r="J52" s="307"/>
      <c r="K52" s="307"/>
      <c r="L52" s="385"/>
      <c r="M52" s="306"/>
      <c r="N52" s="307"/>
      <c r="O52" s="146"/>
      <c r="P52" s="724">
        <f>ROUND((VLOOKUP($D52,Salaries!$A$3:$I$370,9,FALSE)*H52*J52*(1+COLA/100)*(1+COLA/100))+(VLOOKUP($D52,Salaries!$A$3:$I$370,9,FALSE)*L52*N52*(1+COLA/100)*(1+COLA/100)),0)*C52</f>
        <v>0</v>
      </c>
      <c r="Q52" s="724"/>
      <c r="T52" s="323"/>
      <c r="U52" s="385"/>
      <c r="V52" s="305"/>
      <c r="W52" s="307"/>
      <c r="X52" s="307"/>
      <c r="Y52" s="385"/>
      <c r="Z52" s="305"/>
      <c r="AA52" s="307"/>
      <c r="AC52" s="724">
        <f>ROUND((VLOOKUP($D52,Salaries!$A$3:$I$370,9,FALSE)*U52*W52*(1+COLA/100)*(1+COLA/100))+(VLOOKUP($D52,Salaries!$A$3:$I$370,9,FALSE)*Y52*AA52*(1+COLA/100)*(1+COLA/100)),0)*C52</f>
        <v>0</v>
      </c>
      <c r="AD52" s="724"/>
      <c r="AE52" s="322"/>
      <c r="AH52" s="150">
        <f>H52</f>
        <v>0</v>
      </c>
      <c r="AI52" s="150"/>
      <c r="AJ52" s="151">
        <f>W52+J52</f>
        <v>0</v>
      </c>
      <c r="AK52" s="152"/>
      <c r="AL52" s="150">
        <f>L52</f>
        <v>0</v>
      </c>
      <c r="AM52" s="150"/>
      <c r="AN52" s="151">
        <f>AA52+N52</f>
        <v>0</v>
      </c>
      <c r="AO52" s="109"/>
      <c r="AP52" s="765">
        <f>ROUND(SUM(P52:Q53)+SUM(AC52:AD53),0)</f>
        <v>0</v>
      </c>
      <c r="AQ52" s="765"/>
      <c r="AS52" s="323"/>
      <c r="AU52" s="322"/>
      <c r="AW52" s="107">
        <f>P52</f>
        <v>0</v>
      </c>
      <c r="AY52" s="107">
        <f>ROUND(AC52,0)</f>
        <v>0</v>
      </c>
      <c r="BA52" s="108">
        <f>ROUND(AY52+AW52,0)</f>
        <v>0</v>
      </c>
    </row>
    <row r="53" spans="1:59" x14ac:dyDescent="0.3">
      <c r="A53" s="109"/>
      <c r="B53" s="109"/>
      <c r="C53" s="125"/>
      <c r="D53" s="106" t="str">
        <f>"Fringe @ "&amp;TEXT(StuFRINGE+FrCOLA+FrCOLA,"0.00%")</f>
        <v>Fringe @ 7.99%</v>
      </c>
      <c r="E53" s="391"/>
      <c r="F53" s="390"/>
      <c r="G53" s="390"/>
      <c r="H53" s="121"/>
      <c r="I53" s="121"/>
      <c r="J53" s="121"/>
      <c r="K53" s="121"/>
      <c r="L53" s="121"/>
      <c r="M53" s="121"/>
      <c r="N53" s="121"/>
      <c r="O53" s="119"/>
      <c r="Q53" s="107">
        <f>ROUND(P52*StuFRINGE*(1+FrCOLA+FrCOLA),0)</f>
        <v>0</v>
      </c>
      <c r="T53" s="323"/>
      <c r="U53" s="382"/>
      <c r="V53" s="382"/>
      <c r="W53" s="382"/>
      <c r="X53" s="382"/>
      <c r="Y53" s="382"/>
      <c r="Z53" s="382"/>
      <c r="AA53" s="382"/>
      <c r="AD53" s="107">
        <f>ROUND(AC52*StuFRINGE*(1+FrCOLA+FrCOLA),0)</f>
        <v>0</v>
      </c>
      <c r="AE53" s="322"/>
      <c r="AH53" s="152"/>
      <c r="AI53" s="152"/>
      <c r="AJ53" s="152"/>
      <c r="AK53" s="152"/>
      <c r="AL53" s="150"/>
      <c r="AM53" s="150"/>
      <c r="AN53" s="150"/>
      <c r="AO53" s="109"/>
      <c r="AP53" s="765"/>
      <c r="AQ53" s="765"/>
      <c r="AS53" s="323"/>
      <c r="AU53" s="322"/>
      <c r="BC53" s="107">
        <f>ROUND(Q53,0)</f>
        <v>0</v>
      </c>
      <c r="BE53" s="107">
        <f>ROUND(AD53,0)</f>
        <v>0</v>
      </c>
      <c r="BG53" s="108">
        <f>ROUND(BE53+BC53,0)</f>
        <v>0</v>
      </c>
    </row>
    <row r="54" spans="1:59" ht="3" customHeight="1" x14ac:dyDescent="0.3">
      <c r="C54" s="279"/>
      <c r="D54" s="115"/>
      <c r="E54" s="392"/>
      <c r="F54" s="393"/>
      <c r="G54" s="393"/>
      <c r="H54" s="121"/>
      <c r="I54" s="121"/>
      <c r="J54" s="121"/>
      <c r="K54" s="121"/>
      <c r="L54" s="121"/>
      <c r="M54" s="121"/>
      <c r="N54" s="121"/>
      <c r="O54" s="119"/>
      <c r="T54" s="323"/>
      <c r="U54" s="382"/>
      <c r="V54" s="382"/>
      <c r="W54" s="382"/>
      <c r="X54" s="382"/>
      <c r="Y54" s="382"/>
      <c r="Z54" s="382"/>
      <c r="AA54" s="382"/>
      <c r="AD54" s="107"/>
      <c r="AE54" s="322"/>
      <c r="AH54" s="152"/>
      <c r="AI54" s="152"/>
      <c r="AJ54" s="152"/>
      <c r="AK54" s="152"/>
      <c r="AL54" s="150"/>
      <c r="AM54" s="150"/>
      <c r="AN54" s="150"/>
      <c r="AO54" s="109"/>
      <c r="AS54" s="323"/>
      <c r="AU54" s="322"/>
    </row>
    <row r="55" spans="1:59" x14ac:dyDescent="0.3">
      <c r="C55" s="125">
        <v>1</v>
      </c>
      <c r="D55" s="21" t="str">
        <f>'YEAR 2'!D55</f>
        <v>Graduate Student</v>
      </c>
      <c r="E55" s="391"/>
      <c r="F55" s="120">
        <f>ROUND((VLOOKUP(D55,Salaries!$A$3:$I$370,8,FALSE))*(1+COLA/100)*(1+COLA/100),0)</f>
        <v>55652</v>
      </c>
      <c r="G55" s="390"/>
      <c r="H55" s="385"/>
      <c r="I55" s="306"/>
      <c r="J55" s="307"/>
      <c r="K55" s="307"/>
      <c r="L55" s="385"/>
      <c r="M55" s="306"/>
      <c r="N55" s="307"/>
      <c r="O55" s="146"/>
      <c r="P55" s="724">
        <f>ROUND((VLOOKUP($D55,Salaries!$A$3:$I$370,9,FALSE)*H55*J55*(1+COLA/100)*(1+COLA/100))+(VLOOKUP($D55,Salaries!$A$3:$I$370,9,FALSE)*L55*N55*(1+COLA/100)*(1+COLA/100)),0)*C55</f>
        <v>0</v>
      </c>
      <c r="Q55" s="724"/>
      <c r="T55" s="323"/>
      <c r="U55" s="385"/>
      <c r="V55" s="305"/>
      <c r="W55" s="307"/>
      <c r="X55" s="307"/>
      <c r="Y55" s="385"/>
      <c r="Z55" s="305"/>
      <c r="AA55" s="307"/>
      <c r="AC55" s="724">
        <f>ROUND((VLOOKUP($D55,Salaries!$A$3:$I$370,9,FALSE)*U55*W55*(1+COLA/100)*(1+COLA/100))+(VLOOKUP($D55,Salaries!$A$3:$I$370,9,FALSE)*Y55*AA55*(1+COLA/100)*(1+COLA/100)),0)*C55</f>
        <v>0</v>
      </c>
      <c r="AD55" s="724"/>
      <c r="AE55" s="322"/>
      <c r="AH55" s="150">
        <f>H55</f>
        <v>0</v>
      </c>
      <c r="AI55" s="150"/>
      <c r="AJ55" s="151">
        <f>W55+J55</f>
        <v>0</v>
      </c>
      <c r="AK55" s="152"/>
      <c r="AL55" s="150">
        <f>L55</f>
        <v>0</v>
      </c>
      <c r="AM55" s="150"/>
      <c r="AN55" s="151">
        <f>AA55+N55</f>
        <v>0</v>
      </c>
      <c r="AO55" s="109"/>
      <c r="AP55" s="765">
        <f>ROUND(SUM(P55:Q56)+SUM(AC55:AD56),0)</f>
        <v>0</v>
      </c>
      <c r="AQ55" s="765"/>
      <c r="AS55" s="323"/>
      <c r="AU55" s="322"/>
      <c r="AW55" s="107">
        <f>P55</f>
        <v>0</v>
      </c>
      <c r="AY55" s="107">
        <f>ROUND(AC55,0)</f>
        <v>0</v>
      </c>
      <c r="BA55" s="108">
        <f>ROUND(AY55+AW55,0)</f>
        <v>0</v>
      </c>
    </row>
    <row r="56" spans="1:59" x14ac:dyDescent="0.3">
      <c r="C56" s="125"/>
      <c r="D56" s="106" t="str">
        <f>"Fringe @ "&amp;TEXT(StuFRINGE+FrCOLA+FrCOLA,"0.00%")</f>
        <v>Fringe @ 7.99%</v>
      </c>
      <c r="E56" s="391"/>
      <c r="F56" s="390"/>
      <c r="G56" s="390"/>
      <c r="H56" s="121"/>
      <c r="I56" s="121"/>
      <c r="J56" s="121"/>
      <c r="K56" s="121"/>
      <c r="L56" s="121"/>
      <c r="M56" s="121"/>
      <c r="N56" s="121"/>
      <c r="O56" s="119"/>
      <c r="Q56" s="107">
        <f>ROUND(P55*StuFRINGE*(1+FrCOLA+FrCOLA),0)</f>
        <v>0</v>
      </c>
      <c r="T56" s="323"/>
      <c r="U56" s="121"/>
      <c r="V56" s="121"/>
      <c r="W56" s="121"/>
      <c r="X56" s="121"/>
      <c r="Y56" s="121"/>
      <c r="Z56" s="121"/>
      <c r="AA56" s="121"/>
      <c r="AD56" s="107">
        <f>ROUND(AC55*StuFRINGE*(1+FrCOLA+FrCOLA),0)</f>
        <v>0</v>
      </c>
      <c r="AE56" s="322"/>
      <c r="AH56" s="152"/>
      <c r="AI56" s="152"/>
      <c r="AJ56" s="152"/>
      <c r="AK56" s="152"/>
      <c r="AL56" s="150"/>
      <c r="AM56" s="150"/>
      <c r="AN56" s="150"/>
      <c r="AO56" s="109"/>
      <c r="AP56" s="765"/>
      <c r="AQ56" s="765"/>
      <c r="AS56" s="323"/>
      <c r="AU56" s="322"/>
      <c r="BC56" s="107">
        <f>ROUND(Q56,0)</f>
        <v>0</v>
      </c>
      <c r="BE56" s="107">
        <f>ROUND(AD56,0)</f>
        <v>0</v>
      </c>
      <c r="BG56" s="108">
        <f>ROUND(BE56+BC56,0)</f>
        <v>0</v>
      </c>
    </row>
    <row r="57" spans="1:59" ht="3" customHeight="1" x14ac:dyDescent="0.3">
      <c r="C57" s="279"/>
      <c r="D57" s="115"/>
      <c r="E57" s="392"/>
      <c r="F57" s="393"/>
      <c r="G57" s="393"/>
      <c r="L57" s="121"/>
      <c r="M57" s="121"/>
      <c r="N57" s="121"/>
      <c r="O57" s="122"/>
      <c r="T57" s="323"/>
      <c r="Y57" s="121"/>
      <c r="Z57" s="121"/>
      <c r="AA57" s="121"/>
      <c r="AD57" s="107"/>
      <c r="AE57" s="322"/>
      <c r="AH57" s="153"/>
      <c r="AI57" s="153"/>
      <c r="AJ57" s="153"/>
      <c r="AK57" s="109"/>
      <c r="AL57" s="152"/>
      <c r="AM57" s="152"/>
      <c r="AN57" s="152"/>
      <c r="AO57" s="109"/>
      <c r="AS57" s="323"/>
      <c r="AU57" s="322"/>
    </row>
    <row r="58" spans="1:59" ht="12.75" customHeight="1" x14ac:dyDescent="0.3">
      <c r="C58" s="125"/>
      <c r="D58" s="21" t="str">
        <f>'YEAR 2'!D58</f>
        <v>Graduate Student</v>
      </c>
      <c r="E58" s="391"/>
      <c r="F58" s="120">
        <f>ROUND((VLOOKUP(D58,Salaries!$A$3:$I$370,8,FALSE))*(1+COLA/100)*(1+COLA/100),0)</f>
        <v>55652</v>
      </c>
      <c r="G58" s="390"/>
      <c r="H58" s="385"/>
      <c r="I58" s="306"/>
      <c r="J58" s="307"/>
      <c r="K58" s="307"/>
      <c r="L58" s="385"/>
      <c r="M58" s="306"/>
      <c r="N58" s="307"/>
      <c r="O58" s="146"/>
      <c r="P58" s="724">
        <f>ROUND((VLOOKUP($D58,Salaries!$A$3:$I$370,9,FALSE)*H58*J58*(1+COLA/100)*(1+COLA/100))+(VLOOKUP($D58,Salaries!$A$3:$I$370,9,FALSE)*L58*N58*(1+COLA/100)*(1+COLA/100)),0)*C58</f>
        <v>0</v>
      </c>
      <c r="Q58" s="724"/>
      <c r="T58" s="323"/>
      <c r="U58" s="385"/>
      <c r="V58" s="305"/>
      <c r="W58" s="307"/>
      <c r="X58" s="307"/>
      <c r="Y58" s="385"/>
      <c r="Z58" s="305"/>
      <c r="AA58" s="307"/>
      <c r="AC58" s="724">
        <f>ROUND((VLOOKUP($D58,Salaries!$A$3:$I$370,9,FALSE)*U58*W58*(1+COLA/100)*(1+COLA/100))+(VLOOKUP($D58,Salaries!$A$3:$I$370,9,FALSE)*Y58*AA58*(1+COLA/100)*(1+COLA/100)),0)*C58</f>
        <v>0</v>
      </c>
      <c r="AD58" s="724"/>
      <c r="AE58" s="322"/>
      <c r="AH58" s="150">
        <f>U58+H58</f>
        <v>0</v>
      </c>
      <c r="AI58" s="150"/>
      <c r="AJ58" s="151">
        <f>W58+J58</f>
        <v>0</v>
      </c>
      <c r="AK58" s="152"/>
      <c r="AL58" s="150">
        <f>Y58+L58</f>
        <v>0</v>
      </c>
      <c r="AM58" s="150"/>
      <c r="AN58" s="151">
        <f>AA58+N58</f>
        <v>0</v>
      </c>
      <c r="AO58" s="109"/>
      <c r="AP58" s="765">
        <f>ROUND(SUM(P58:Q59)+SUM(AC58:AD59),0)</f>
        <v>0</v>
      </c>
      <c r="AQ58" s="765"/>
      <c r="AS58" s="323"/>
      <c r="AU58" s="322"/>
      <c r="AW58" s="107">
        <f>P58</f>
        <v>0</v>
      </c>
      <c r="AY58" s="107">
        <f>ROUND(AC58,0)</f>
        <v>0</v>
      </c>
      <c r="BA58" s="108">
        <f>ROUND(AY58+AW58,0)</f>
        <v>0</v>
      </c>
    </row>
    <row r="59" spans="1:59" ht="12.75" customHeight="1" x14ac:dyDescent="0.3">
      <c r="C59" s="125"/>
      <c r="D59" s="106" t="str">
        <f>"Fringe @ "&amp;TEXT(StuFRINGE+FrCOLA+FrCOLA,"0.00%")</f>
        <v>Fringe @ 7.99%</v>
      </c>
      <c r="H59" s="121"/>
      <c r="I59" s="121"/>
      <c r="J59" s="121"/>
      <c r="K59" s="121"/>
      <c r="L59" s="121"/>
      <c r="M59" s="121"/>
      <c r="N59" s="121"/>
      <c r="O59" s="119"/>
      <c r="Q59" s="107">
        <f>ROUND(P58*StuFRINGE*(1+FrCOLA+FrCOLA),0)</f>
        <v>0</v>
      </c>
      <c r="T59" s="323"/>
      <c r="U59" s="121"/>
      <c r="V59" s="121"/>
      <c r="W59" s="121"/>
      <c r="X59" s="121"/>
      <c r="Y59" s="121"/>
      <c r="Z59" s="121"/>
      <c r="AA59" s="121"/>
      <c r="AD59" s="107">
        <f>ROUND(AC58*StuFRINGE*(1+FrCOLA+FrCOLA),0)</f>
        <v>0</v>
      </c>
      <c r="AE59" s="322"/>
      <c r="AH59" s="152"/>
      <c r="AI59" s="152"/>
      <c r="AJ59" s="152"/>
      <c r="AK59" s="152"/>
      <c r="AL59" s="150"/>
      <c r="AM59" s="150"/>
      <c r="AN59" s="150"/>
      <c r="AO59" s="109"/>
      <c r="AP59" s="765"/>
      <c r="AQ59" s="765"/>
      <c r="AS59" s="323"/>
      <c r="AU59" s="322"/>
      <c r="BC59" s="107">
        <f>ROUND(Q59,0)</f>
        <v>0</v>
      </c>
      <c r="BE59" s="107">
        <f>ROUND(AD59,0)</f>
        <v>0</v>
      </c>
      <c r="BG59" s="108">
        <f>ROUND(BE59+BC59,0)</f>
        <v>0</v>
      </c>
    </row>
    <row r="60" spans="1:59" ht="3" customHeight="1" x14ac:dyDescent="0.3">
      <c r="C60" s="125"/>
      <c r="D60" s="115"/>
      <c r="E60" s="115"/>
      <c r="F60" s="116"/>
      <c r="G60" s="116"/>
      <c r="H60" s="121"/>
      <c r="I60" s="121"/>
      <c r="J60" s="121"/>
      <c r="K60" s="121"/>
      <c r="L60" s="121"/>
      <c r="M60" s="121"/>
      <c r="N60" s="121"/>
      <c r="O60" s="117"/>
      <c r="T60" s="323"/>
      <c r="AD60" s="107"/>
      <c r="AE60" s="322"/>
      <c r="AH60" s="109"/>
      <c r="AI60" s="109"/>
      <c r="AJ60" s="109"/>
      <c r="AK60" s="109"/>
      <c r="AL60" s="153"/>
      <c r="AM60" s="153"/>
      <c r="AN60" s="153"/>
      <c r="AO60" s="109"/>
      <c r="AS60" s="323"/>
      <c r="AU60" s="322"/>
    </row>
    <row r="61" spans="1:59" ht="12.75" customHeight="1" x14ac:dyDescent="0.3">
      <c r="C61" s="125">
        <v>1</v>
      </c>
      <c r="D61" s="21" t="str">
        <f>'YEAR 2'!D61</f>
        <v>Graduate Student</v>
      </c>
      <c r="F61" s="120">
        <f>ROUND((VLOOKUP(D61,Salaries!$A$3:$I$370,8,FALSE))*(1+COLA/100)*(1+COLA/100),0)</f>
        <v>55652</v>
      </c>
      <c r="H61" s="385"/>
      <c r="I61" s="306"/>
      <c r="J61" s="307"/>
      <c r="K61" s="307"/>
      <c r="L61" s="385"/>
      <c r="M61" s="306"/>
      <c r="N61" s="307"/>
      <c r="O61" s="146"/>
      <c r="P61" s="724">
        <f>ROUND(F61/12*H61*J61+F61/12*L61*N61, 0)*C61</f>
        <v>0</v>
      </c>
      <c r="Q61" s="724"/>
      <c r="T61" s="323"/>
      <c r="U61" s="385"/>
      <c r="V61" s="305"/>
      <c r="W61" s="307"/>
      <c r="X61" s="307"/>
      <c r="Y61" s="385"/>
      <c r="Z61" s="305"/>
      <c r="AA61" s="307"/>
      <c r="AC61" s="724">
        <f>ROUND((VLOOKUP($D61,Salaries!$A$3:$I$370,9,FALSE)*U61*W61*(1+COLA/100)*(1+COLA/100))+(VLOOKUP($D61,Salaries!$A$3:$I$370,9,FALSE)*Y61*AA61*(1+COLA/100)*(1+COLA/100)),0)*C61</f>
        <v>0</v>
      </c>
      <c r="AD61" s="724"/>
      <c r="AE61" s="322"/>
      <c r="AH61" s="150">
        <f>U61+H61</f>
        <v>0</v>
      </c>
      <c r="AI61" s="150"/>
      <c r="AJ61" s="151">
        <f>W61+J61</f>
        <v>0</v>
      </c>
      <c r="AK61" s="152"/>
      <c r="AL61" s="150">
        <f>Y61+L61</f>
        <v>0</v>
      </c>
      <c r="AM61" s="150"/>
      <c r="AN61" s="151">
        <f>AA61+N61</f>
        <v>0</v>
      </c>
      <c r="AO61" s="109"/>
      <c r="AP61" s="765">
        <f>ROUND(SUM(P61:Q62)+SUM(AC61:AD62),0)</f>
        <v>0</v>
      </c>
      <c r="AQ61" s="765"/>
      <c r="AS61" s="323"/>
      <c r="AU61" s="322"/>
      <c r="AW61" s="107">
        <f>P61</f>
        <v>0</v>
      </c>
      <c r="AY61" s="107">
        <f>ROUND(AC61,0)</f>
        <v>0</v>
      </c>
      <c r="BA61" s="108">
        <f>ROUND(AY61+AW61,0)</f>
        <v>0</v>
      </c>
    </row>
    <row r="62" spans="1:59" ht="12.75" customHeight="1" x14ac:dyDescent="0.3">
      <c r="C62" s="125"/>
      <c r="D62" s="106" t="str">
        <f>"Fringe @ "&amp;TEXT(StuFRINGE+FrCOLA+FrCOLA,"0.00%")</f>
        <v>Fringe @ 7.99%</v>
      </c>
      <c r="H62" s="121"/>
      <c r="I62" s="121"/>
      <c r="J62" s="121"/>
      <c r="K62" s="121"/>
      <c r="L62" s="121"/>
      <c r="M62" s="121"/>
      <c r="N62" s="121"/>
      <c r="O62" s="119"/>
      <c r="Q62" s="107">
        <f>ROUND(P61*StuFRINGE*(1+FrCOLA+FrCOLA),0)</f>
        <v>0</v>
      </c>
      <c r="T62" s="323"/>
      <c r="U62" s="121"/>
      <c r="V62" s="121"/>
      <c r="W62" s="121"/>
      <c r="X62" s="121"/>
      <c r="Y62" s="121"/>
      <c r="Z62" s="121"/>
      <c r="AA62" s="121"/>
      <c r="AD62" s="107">
        <f>ROUND(AC61*StuFRINGE*(1+FrCOLA+FrCOLA),0)</f>
        <v>0</v>
      </c>
      <c r="AE62" s="322"/>
      <c r="AH62" s="152"/>
      <c r="AI62" s="152"/>
      <c r="AJ62" s="152"/>
      <c r="AK62" s="152"/>
      <c r="AL62" s="150"/>
      <c r="AM62" s="150"/>
      <c r="AN62" s="150"/>
      <c r="AO62" s="109"/>
      <c r="AP62" s="765"/>
      <c r="AQ62" s="765"/>
      <c r="AS62" s="323"/>
      <c r="AU62" s="322"/>
      <c r="BC62" s="107">
        <f>ROUND(Q62,0)</f>
        <v>0</v>
      </c>
      <c r="BE62" s="107">
        <f>ROUND(AD62,0)</f>
        <v>0</v>
      </c>
      <c r="BG62" s="108">
        <f>ROUND(BE62+BC62,0)</f>
        <v>0</v>
      </c>
    </row>
    <row r="63" spans="1:59" ht="3" customHeight="1" x14ac:dyDescent="0.3">
      <c r="C63" s="125"/>
      <c r="D63" s="115"/>
      <c r="E63" s="115"/>
      <c r="F63" s="116"/>
      <c r="G63" s="116"/>
      <c r="H63" s="121"/>
      <c r="I63" s="121"/>
      <c r="J63" s="121"/>
      <c r="K63" s="121"/>
      <c r="L63" s="121"/>
      <c r="M63" s="121"/>
      <c r="N63" s="121"/>
      <c r="O63" s="124"/>
      <c r="T63" s="323"/>
      <c r="Y63" s="123"/>
      <c r="Z63" s="123"/>
      <c r="AA63" s="123"/>
      <c r="AD63" s="107"/>
      <c r="AE63" s="322"/>
      <c r="AH63" s="109"/>
      <c r="AI63" s="109"/>
      <c r="AJ63" s="109"/>
      <c r="AK63" s="109"/>
      <c r="AL63" s="154"/>
      <c r="AM63" s="154"/>
      <c r="AN63" s="154"/>
      <c r="AO63" s="109"/>
      <c r="AS63" s="323"/>
      <c r="AU63" s="322"/>
    </row>
    <row r="64" spans="1:59" ht="14.25" customHeight="1" x14ac:dyDescent="0.3">
      <c r="C64" s="125">
        <v>1</v>
      </c>
      <c r="D64" s="21" t="str">
        <f>'YEAR 2'!D64</f>
        <v>Undergraduate Student</v>
      </c>
      <c r="F64" s="120">
        <f>ROUND((VLOOKUP(D64,Salaries!$A$3:$I$370,8,FALSE))*(1+COLA/100)*(1+COLA/100),0)</f>
        <v>26480</v>
      </c>
      <c r="H64" s="385"/>
      <c r="I64" s="306"/>
      <c r="J64" s="307"/>
      <c r="K64" s="307"/>
      <c r="L64" s="385"/>
      <c r="M64" s="306"/>
      <c r="N64" s="307"/>
      <c r="O64" s="146"/>
      <c r="P64" s="724">
        <f>ROUND(F64/12*H64*J64+F64/12*L64*N64, 0)*C64</f>
        <v>0</v>
      </c>
      <c r="Q64" s="724"/>
      <c r="T64" s="323"/>
      <c r="U64" s="385"/>
      <c r="V64" s="305"/>
      <c r="W64" s="307"/>
      <c r="X64" s="307"/>
      <c r="Y64" s="385"/>
      <c r="Z64" s="305"/>
      <c r="AA64" s="307"/>
      <c r="AC64" s="724">
        <f>ROUND((VLOOKUP($D64,Salaries!$A$3:$I$370,9,FALSE)*U64*W64*(1+COLA/100)*(1+COLA/100))+(VLOOKUP($D64,Salaries!$A$3:$I$370,9,FALSE)*Y64*AA64*(1+COLA/100)*(1+COLA/100)),0)*C64</f>
        <v>0</v>
      </c>
      <c r="AD64" s="724"/>
      <c r="AE64" s="322"/>
      <c r="AH64" s="150">
        <f>U64+H64</f>
        <v>0</v>
      </c>
      <c r="AI64" s="150"/>
      <c r="AJ64" s="151">
        <f>W64+J64</f>
        <v>0</v>
      </c>
      <c r="AK64" s="152"/>
      <c r="AL64" s="150">
        <f>Y64+L64</f>
        <v>0</v>
      </c>
      <c r="AM64" s="150"/>
      <c r="AN64" s="151">
        <f>AA64+N64</f>
        <v>0</v>
      </c>
      <c r="AO64" s="109"/>
      <c r="AP64" s="765">
        <f>ROUND(SUM(P64:Q65)+SUM(AC64:AD65),0)</f>
        <v>0</v>
      </c>
      <c r="AQ64" s="765"/>
      <c r="AS64" s="323"/>
      <c r="AU64" s="322"/>
      <c r="AW64" s="107">
        <f>P64</f>
        <v>0</v>
      </c>
      <c r="AY64" s="107">
        <f>ROUND(AC64,0)</f>
        <v>0</v>
      </c>
      <c r="BA64" s="108">
        <f>ROUND(AY64+AW64,0)</f>
        <v>0</v>
      </c>
    </row>
    <row r="65" spans="1:59" ht="12.75" customHeight="1" x14ac:dyDescent="0.3">
      <c r="C65" s="115"/>
      <c r="D65" s="106" t="str">
        <f>"Fringe @ "&amp;TEXT(StuFRINGE+FrCOLA+FrCOLA,"0.00%")</f>
        <v>Fringe @ 7.99%</v>
      </c>
      <c r="H65" s="122"/>
      <c r="I65" s="122"/>
      <c r="J65" s="122"/>
      <c r="K65" s="122"/>
      <c r="L65" s="121"/>
      <c r="M65" s="121"/>
      <c r="N65" s="121"/>
      <c r="O65" s="119"/>
      <c r="Q65" s="107">
        <f>ROUND(P64*StuFRINGE*(1+FrCOLA+FrCOLA),0)</f>
        <v>0</v>
      </c>
      <c r="T65" s="323"/>
      <c r="U65" s="122"/>
      <c r="V65" s="122"/>
      <c r="W65" s="122"/>
      <c r="X65" s="122"/>
      <c r="Y65" s="121"/>
      <c r="Z65" s="121"/>
      <c r="AA65" s="121"/>
      <c r="AD65" s="107">
        <f>ROUND(AC64*StuFRINGE*(1+FrCOLA+FrCOLA),0)</f>
        <v>0</v>
      </c>
      <c r="AE65" s="322"/>
      <c r="AH65" s="152"/>
      <c r="AI65" s="152"/>
      <c r="AJ65" s="152"/>
      <c r="AK65" s="152"/>
      <c r="AL65" s="150"/>
      <c r="AM65" s="150"/>
      <c r="AN65" s="150"/>
      <c r="AO65" s="109"/>
      <c r="AP65" s="765"/>
      <c r="AQ65" s="765"/>
      <c r="AS65" s="323"/>
      <c r="AU65" s="322"/>
      <c r="BC65" s="107">
        <f>ROUND(Q65,0)</f>
        <v>0</v>
      </c>
      <c r="BE65" s="107">
        <f>ROUND(AD65,0)</f>
        <v>0</v>
      </c>
      <c r="BG65" s="108">
        <f>ROUND(BE65+BC65,0)</f>
        <v>0</v>
      </c>
    </row>
    <row r="66" spans="1:59" ht="3" customHeight="1" x14ac:dyDescent="0.3">
      <c r="B66" s="772"/>
      <c r="C66" s="772"/>
      <c r="D66" s="772"/>
      <c r="E66" s="772"/>
      <c r="F66" s="772"/>
      <c r="G66" s="772"/>
      <c r="H66" s="772"/>
      <c r="I66" s="772"/>
      <c r="J66" s="772"/>
      <c r="K66" s="772"/>
      <c r="L66" s="772"/>
      <c r="P66" s="736"/>
      <c r="Q66" s="736"/>
      <c r="T66" s="323"/>
      <c r="AC66" s="736"/>
      <c r="AD66" s="736"/>
      <c r="AE66" s="322"/>
      <c r="AP66" s="781"/>
      <c r="AQ66" s="781"/>
      <c r="AS66" s="323"/>
      <c r="AU66" s="322"/>
    </row>
    <row r="67" spans="1:59" x14ac:dyDescent="0.3">
      <c r="B67" s="164" t="str">
        <f>CONCATENATE("TOTAL ",B45)</f>
        <v>TOTAL OTHER PERSONNEL</v>
      </c>
      <c r="C67" s="165"/>
      <c r="D67" s="166"/>
      <c r="E67" s="166"/>
      <c r="F67" s="167"/>
      <c r="G67" s="167"/>
      <c r="H67" s="165"/>
      <c r="I67" s="165"/>
      <c r="J67" s="165"/>
      <c r="K67" s="165"/>
      <c r="L67" s="165"/>
      <c r="M67" s="165"/>
      <c r="N67" s="165"/>
      <c r="O67" s="165"/>
      <c r="P67" s="761">
        <f>ROUND(SUM(P46:Q66),0)</f>
        <v>0</v>
      </c>
      <c r="Q67" s="761"/>
      <c r="R67" s="165"/>
      <c r="S67" s="165"/>
      <c r="T67" s="329"/>
      <c r="U67" s="165"/>
      <c r="V67" s="165"/>
      <c r="W67" s="165"/>
      <c r="X67" s="165"/>
      <c r="Y67" s="165"/>
      <c r="Z67" s="165"/>
      <c r="AA67" s="165"/>
      <c r="AB67" s="165"/>
      <c r="AC67" s="311"/>
      <c r="AD67" s="292">
        <f>ROUND(SUM(AC46:AD66),0)</f>
        <v>0</v>
      </c>
      <c r="AE67" s="330"/>
      <c r="AF67" s="165"/>
      <c r="AG67" s="165"/>
      <c r="AH67" s="165"/>
      <c r="AI67" s="165"/>
      <c r="AJ67" s="165"/>
      <c r="AK67" s="165"/>
      <c r="AL67" s="165"/>
      <c r="AM67" s="165"/>
      <c r="AN67" s="165"/>
      <c r="AO67" s="165"/>
      <c r="AP67" s="288"/>
      <c r="AQ67" s="292">
        <f>ROUND(SUM(AP46:AQ66),0)</f>
        <v>0</v>
      </c>
      <c r="AS67" s="323"/>
      <c r="AU67" s="322"/>
      <c r="AW67" s="128">
        <f>ROUND(SUM(AW12:AW66),0)</f>
        <v>0</v>
      </c>
      <c r="AX67" s="126"/>
      <c r="AY67" s="128">
        <f>ROUND(SUM(AY12:AY66),0)</f>
        <v>0</v>
      </c>
      <c r="AZ67" s="126"/>
      <c r="BA67" s="128">
        <f>ROUND(SUM(BA12:BA66),0)</f>
        <v>0</v>
      </c>
      <c r="BB67" s="126"/>
      <c r="BC67" s="128">
        <f>ROUND(SUM(BC12:BC66),0)</f>
        <v>0</v>
      </c>
      <c r="BD67" s="126"/>
      <c r="BE67" s="128">
        <f>ROUND(SUM(BE12:BE66),0)</f>
        <v>0</v>
      </c>
      <c r="BF67" s="126"/>
      <c r="BG67" s="128">
        <f>ROUND(SUM(BG12:BG66),0)</f>
        <v>0</v>
      </c>
    </row>
    <row r="68" spans="1:59" ht="3" customHeight="1" x14ac:dyDescent="0.3">
      <c r="D68" s="115"/>
      <c r="E68" s="115"/>
      <c r="F68" s="116"/>
      <c r="G68" s="116"/>
      <c r="T68" s="323"/>
      <c r="AE68" s="322"/>
      <c r="AS68" s="323"/>
      <c r="AU68" s="322"/>
      <c r="AY68" s="157" t="s">
        <v>800</v>
      </c>
      <c r="BE68" s="117" t="s">
        <v>801</v>
      </c>
    </row>
    <row r="69" spans="1:59" x14ac:dyDescent="0.3">
      <c r="A69" s="109" t="s">
        <v>184</v>
      </c>
      <c r="B69" s="109" t="s">
        <v>769</v>
      </c>
      <c r="C69" s="109"/>
      <c r="D69" s="115"/>
      <c r="E69" s="115"/>
      <c r="F69" s="116"/>
      <c r="G69" s="116"/>
      <c r="T69" s="323"/>
      <c r="AE69" s="322"/>
      <c r="AS69" s="323"/>
      <c r="AU69" s="322"/>
    </row>
    <row r="70" spans="1:59" x14ac:dyDescent="0.3">
      <c r="D70" s="115"/>
      <c r="E70" s="115"/>
      <c r="F70" s="116"/>
      <c r="G70" s="116"/>
      <c r="P70" s="724"/>
      <c r="Q70" s="724"/>
      <c r="T70" s="323"/>
      <c r="AC70" s="739"/>
      <c r="AD70" s="739"/>
      <c r="AE70" s="322"/>
      <c r="AP70" s="180"/>
      <c r="AQ70" s="608">
        <f>ROUND(SUM(P70:AE70),0)</f>
        <v>0</v>
      </c>
      <c r="AS70" s="519">
        <f>P70</f>
        <v>0</v>
      </c>
      <c r="AU70" s="520">
        <f>AC70</f>
        <v>0</v>
      </c>
    </row>
    <row r="71" spans="1:59" x14ac:dyDescent="0.3">
      <c r="D71" s="115"/>
      <c r="E71" s="115"/>
      <c r="F71" s="116"/>
      <c r="G71" s="116"/>
      <c r="P71" s="724"/>
      <c r="Q71" s="724"/>
      <c r="T71" s="323"/>
      <c r="AC71" s="739"/>
      <c r="AD71" s="739"/>
      <c r="AE71" s="322"/>
      <c r="AP71" s="180"/>
      <c r="AQ71" s="608">
        <f>ROUND(SUM(P71:AE71),0)</f>
        <v>0</v>
      </c>
      <c r="AS71" s="519">
        <f>P71</f>
        <v>0</v>
      </c>
      <c r="AU71" s="520">
        <f>AD71</f>
        <v>0</v>
      </c>
    </row>
    <row r="72" spans="1:59" x14ac:dyDescent="0.3">
      <c r="D72" s="115"/>
      <c r="E72" s="115"/>
      <c r="F72" s="116"/>
      <c r="G72" s="116"/>
      <c r="P72" s="724"/>
      <c r="Q72" s="724"/>
      <c r="T72" s="323"/>
      <c r="AC72" s="739"/>
      <c r="AD72" s="739"/>
      <c r="AE72" s="322"/>
      <c r="AP72" s="180"/>
      <c r="AQ72" s="608">
        <f>ROUND(SUM(P72:AE72),0)</f>
        <v>0</v>
      </c>
      <c r="AS72" s="519">
        <f>P72</f>
        <v>0</v>
      </c>
      <c r="AU72" s="520">
        <f>AD72</f>
        <v>0</v>
      </c>
    </row>
    <row r="73" spans="1:59" ht="12.75" customHeight="1" x14ac:dyDescent="0.3">
      <c r="D73" s="115"/>
      <c r="E73" s="115"/>
      <c r="F73" s="116"/>
      <c r="G73" s="116"/>
      <c r="P73" s="724"/>
      <c r="Q73" s="724"/>
      <c r="T73" s="323"/>
      <c r="AC73" s="739"/>
      <c r="AD73" s="739"/>
      <c r="AE73" s="322"/>
      <c r="AP73" s="180"/>
      <c r="AQ73" s="608">
        <f t="shared" ref="AQ73:AQ74" si="0">ROUND(SUM(P73:AE73),0)</f>
        <v>0</v>
      </c>
      <c r="AS73" s="519">
        <f>P73</f>
        <v>0</v>
      </c>
      <c r="AU73" s="520">
        <f>AD73</f>
        <v>0</v>
      </c>
    </row>
    <row r="74" spans="1:59" ht="12.75" customHeight="1" x14ac:dyDescent="0.3">
      <c r="D74" s="115"/>
      <c r="E74" s="115"/>
      <c r="F74" s="116"/>
      <c r="G74" s="116"/>
      <c r="P74" s="724"/>
      <c r="Q74" s="724"/>
      <c r="T74" s="323"/>
      <c r="AC74" s="739"/>
      <c r="AD74" s="739"/>
      <c r="AE74" s="322"/>
      <c r="AP74" s="180"/>
      <c r="AQ74" s="608">
        <f t="shared" si="0"/>
        <v>0</v>
      </c>
      <c r="AS74" s="519">
        <f>P74</f>
        <v>0</v>
      </c>
      <c r="AU74" s="520">
        <f>AD74</f>
        <v>0</v>
      </c>
    </row>
    <row r="75" spans="1:59" ht="3" customHeight="1" x14ac:dyDescent="0.3">
      <c r="B75" s="772"/>
      <c r="C75" s="772"/>
      <c r="D75" s="772"/>
      <c r="E75" s="772"/>
      <c r="F75" s="772"/>
      <c r="G75" s="772"/>
      <c r="H75" s="772"/>
      <c r="I75" s="772"/>
      <c r="J75" s="772"/>
      <c r="K75" s="772"/>
      <c r="L75" s="772"/>
      <c r="P75" s="736"/>
      <c r="Q75" s="736"/>
      <c r="T75" s="323"/>
      <c r="AC75" s="736"/>
      <c r="AD75" s="736"/>
      <c r="AE75" s="322"/>
      <c r="AP75" s="763"/>
      <c r="AQ75" s="763"/>
      <c r="AS75" s="323"/>
      <c r="AU75" s="322"/>
    </row>
    <row r="76" spans="1:59" x14ac:dyDescent="0.3">
      <c r="B76" s="164" t="str">
        <f>CONCATENATE("TOTAL ",B69)</f>
        <v>TOTAL EQUIPMENT</v>
      </c>
      <c r="C76" s="165"/>
      <c r="D76" s="168"/>
      <c r="E76" s="168"/>
      <c r="F76" s="169"/>
      <c r="G76" s="169"/>
      <c r="H76" s="165"/>
      <c r="I76" s="165"/>
      <c r="J76" s="165"/>
      <c r="K76" s="165"/>
      <c r="L76" s="165"/>
      <c r="M76" s="165"/>
      <c r="N76" s="165"/>
      <c r="O76" s="165"/>
      <c r="P76" s="761">
        <f>ROUND(SUM(P69:Q75),0)</f>
        <v>0</v>
      </c>
      <c r="Q76" s="761"/>
      <c r="R76" s="165"/>
      <c r="S76" s="165"/>
      <c r="T76" s="329"/>
      <c r="U76" s="165"/>
      <c r="V76" s="165"/>
      <c r="W76" s="165"/>
      <c r="X76" s="165"/>
      <c r="Y76" s="165"/>
      <c r="Z76" s="165"/>
      <c r="AA76" s="165"/>
      <c r="AB76" s="165"/>
      <c r="AC76" s="165"/>
      <c r="AD76" s="292">
        <f>ROUND(SUM(AC69:AD75),0)</f>
        <v>0</v>
      </c>
      <c r="AE76" s="330"/>
      <c r="AF76" s="165"/>
      <c r="AG76" s="165"/>
      <c r="AH76" s="165"/>
      <c r="AI76" s="165"/>
      <c r="AJ76" s="165"/>
      <c r="AK76" s="165"/>
      <c r="AL76" s="165"/>
      <c r="AM76" s="165"/>
      <c r="AN76" s="165"/>
      <c r="AO76" s="165"/>
      <c r="AP76" s="298"/>
      <c r="AQ76" s="292">
        <f>ROUND(SUM(AP69:AQ75),0)</f>
        <v>0</v>
      </c>
      <c r="AS76" s="323"/>
      <c r="AU76" s="322"/>
    </row>
    <row r="77" spans="1:59" ht="3" customHeight="1" x14ac:dyDescent="0.3">
      <c r="D77" s="115"/>
      <c r="E77" s="115"/>
      <c r="F77" s="116"/>
      <c r="G77" s="116"/>
      <c r="T77" s="323"/>
      <c r="AE77" s="322"/>
      <c r="AP77" s="180"/>
      <c r="AQ77" s="180"/>
      <c r="AS77" s="323"/>
      <c r="AU77" s="322"/>
    </row>
    <row r="78" spans="1:59" x14ac:dyDescent="0.3">
      <c r="A78" s="109" t="s">
        <v>670</v>
      </c>
      <c r="B78" s="109" t="s">
        <v>765</v>
      </c>
      <c r="C78" s="109"/>
      <c r="D78" s="115"/>
      <c r="E78" s="115"/>
      <c r="F78" s="116"/>
      <c r="G78" s="116"/>
      <c r="P78" s="130"/>
      <c r="Q78" s="130"/>
      <c r="T78" s="323"/>
      <c r="AC78" s="129"/>
      <c r="AD78" s="295"/>
      <c r="AE78" s="322"/>
      <c r="AP78" s="180"/>
      <c r="AQ78" s="295"/>
      <c r="AS78" s="323"/>
      <c r="AU78" s="322"/>
    </row>
    <row r="79" spans="1:59" ht="29.25" customHeight="1" x14ac:dyDescent="0.3">
      <c r="A79" s="109"/>
      <c r="B79" s="131" t="s">
        <v>802</v>
      </c>
      <c r="C79" s="109" t="s">
        <v>705</v>
      </c>
      <c r="D79" s="115"/>
      <c r="E79" s="115"/>
      <c r="F79" s="157" t="s">
        <v>175</v>
      </c>
      <c r="G79" s="157"/>
      <c r="H79" s="117" t="s">
        <v>803</v>
      </c>
      <c r="I79" s="117"/>
      <c r="J79" s="540" t="s">
        <v>804</v>
      </c>
      <c r="L79" s="540" t="s">
        <v>805</v>
      </c>
      <c r="M79" s="119"/>
      <c r="N79" s="119"/>
      <c r="P79" s="130"/>
      <c r="Q79" s="130"/>
      <c r="T79" s="323"/>
      <c r="Y79" s="119"/>
      <c r="Z79" s="119"/>
      <c r="AA79" s="119"/>
      <c r="AC79" s="130"/>
      <c r="AD79" s="295"/>
      <c r="AE79" s="322"/>
      <c r="AL79" s="119"/>
      <c r="AM79" s="119"/>
      <c r="AN79" s="119"/>
      <c r="AP79" s="180"/>
      <c r="AQ79" s="295"/>
      <c r="AS79" s="323"/>
      <c r="AU79" s="322"/>
    </row>
    <row r="80" spans="1:59" x14ac:dyDescent="0.3">
      <c r="B80" s="125"/>
      <c r="D80" s="106">
        <f>'YEAR 1'!D80</f>
        <v>0</v>
      </c>
      <c r="E80" s="115"/>
      <c r="F80" s="157"/>
      <c r="L80" s="119"/>
      <c r="M80" s="119"/>
      <c r="N80" s="119"/>
      <c r="P80" s="130"/>
      <c r="Q80" s="130"/>
      <c r="T80" s="323"/>
      <c r="AC80" s="739"/>
      <c r="AD80" s="739"/>
      <c r="AE80" s="322"/>
      <c r="AP80" s="180"/>
      <c r="AQ80" s="608"/>
      <c r="AS80" s="323"/>
      <c r="AU80" s="322"/>
    </row>
    <row r="81" spans="2:47" x14ac:dyDescent="0.3">
      <c r="B81" s="125"/>
      <c r="C81" s="106" t="s">
        <v>806</v>
      </c>
      <c r="D81" s="115"/>
      <c r="E81" s="115"/>
      <c r="F81" s="180">
        <v>750</v>
      </c>
      <c r="L81" s="106">
        <v>1</v>
      </c>
      <c r="M81" s="119"/>
      <c r="P81" s="724">
        <f>J81*F81*L81</f>
        <v>0</v>
      </c>
      <c r="Q81" s="724"/>
      <c r="T81" s="323"/>
      <c r="AC81" s="739"/>
      <c r="AD81" s="739"/>
      <c r="AE81" s="322"/>
      <c r="AP81" s="180"/>
      <c r="AQ81" s="608">
        <f>ROUND(SUM(P81:AE81),0)</f>
        <v>0</v>
      </c>
      <c r="AS81" s="323"/>
      <c r="AU81" s="322"/>
    </row>
    <row r="82" spans="2:47" x14ac:dyDescent="0.3">
      <c r="B82" s="125"/>
      <c r="C82" s="106" t="s">
        <v>807</v>
      </c>
      <c r="D82" s="115"/>
      <c r="E82" s="115"/>
      <c r="F82" s="180">
        <v>175</v>
      </c>
      <c r="L82" s="106">
        <v>1</v>
      </c>
      <c r="P82" s="724">
        <f>J82*F82*H82*L82</f>
        <v>0</v>
      </c>
      <c r="Q82" s="724"/>
      <c r="T82" s="323"/>
      <c r="AC82" s="739"/>
      <c r="AD82" s="739"/>
      <c r="AE82" s="322"/>
      <c r="AP82" s="180"/>
      <c r="AQ82" s="608">
        <f>ROUND(SUM(P82:AE82),0)</f>
        <v>0</v>
      </c>
      <c r="AS82" s="323"/>
      <c r="AU82" s="322"/>
    </row>
    <row r="83" spans="2:47" x14ac:dyDescent="0.3">
      <c r="B83" s="125"/>
      <c r="C83" s="106" t="s">
        <v>808</v>
      </c>
      <c r="D83" s="115"/>
      <c r="E83" s="115"/>
      <c r="F83" s="180">
        <f>Data!E40</f>
        <v>56</v>
      </c>
      <c r="L83" s="106">
        <v>1</v>
      </c>
      <c r="P83" s="724">
        <f t="shared" ref="P83" si="1">J83*F83*H83*L83</f>
        <v>0</v>
      </c>
      <c r="Q83" s="724"/>
      <c r="T83" s="323"/>
      <c r="AC83" s="739"/>
      <c r="AD83" s="739"/>
      <c r="AE83" s="322"/>
      <c r="AP83" s="180"/>
      <c r="AQ83" s="608">
        <f>ROUND(SUM(P83:AE83),0)</f>
        <v>0</v>
      </c>
      <c r="AS83" s="323"/>
      <c r="AU83" s="322"/>
    </row>
    <row r="84" spans="2:47" ht="13.5" customHeight="1" x14ac:dyDescent="0.3">
      <c r="B84" s="125"/>
      <c r="C84" s="482" t="s">
        <v>809</v>
      </c>
      <c r="D84" s="115"/>
      <c r="E84" s="115"/>
      <c r="F84" s="180">
        <f>'YEAR 2'!F84</f>
        <v>150</v>
      </c>
      <c r="L84" s="106">
        <v>1</v>
      </c>
      <c r="P84" s="724">
        <f>J84*F84*L84</f>
        <v>0</v>
      </c>
      <c r="Q84" s="724"/>
      <c r="T84" s="323"/>
      <c r="AC84" s="739"/>
      <c r="AD84" s="739"/>
      <c r="AE84" s="322"/>
      <c r="AP84" s="765">
        <f>ROUND(SUM(P84:AE84),0)</f>
        <v>0</v>
      </c>
      <c r="AQ84" s="765"/>
      <c r="AS84" s="323"/>
      <c r="AU84" s="322"/>
    </row>
    <row r="85" spans="2:47" ht="3" customHeight="1" x14ac:dyDescent="0.3">
      <c r="B85" s="125"/>
      <c r="C85" s="482"/>
      <c r="D85" s="115"/>
      <c r="E85" s="115"/>
      <c r="F85" s="180"/>
      <c r="T85" s="323"/>
      <c r="AC85" s="180"/>
      <c r="AE85" s="322"/>
      <c r="AP85" s="608"/>
      <c r="AQ85" s="608"/>
      <c r="AS85" s="323"/>
      <c r="AU85" s="322"/>
    </row>
    <row r="86" spans="2:47" ht="13.5" customHeight="1" x14ac:dyDescent="0.3">
      <c r="B86" s="125"/>
      <c r="C86" s="482"/>
      <c r="D86" s="106">
        <f>'YEAR 1'!D86</f>
        <v>0</v>
      </c>
      <c r="E86" s="115"/>
      <c r="F86" s="157"/>
      <c r="L86" s="119"/>
      <c r="M86" s="119"/>
      <c r="N86" s="119"/>
      <c r="T86" s="323"/>
      <c r="AC86" s="180"/>
      <c r="AE86" s="322"/>
      <c r="AP86" s="608"/>
      <c r="AQ86" s="608"/>
      <c r="AS86" s="323"/>
      <c r="AU86" s="322"/>
    </row>
    <row r="87" spans="2:47" ht="13.5" customHeight="1" x14ac:dyDescent="0.3">
      <c r="B87" s="125"/>
      <c r="C87" s="106" t="s">
        <v>806</v>
      </c>
      <c r="D87" s="115"/>
      <c r="E87" s="115"/>
      <c r="F87" s="180">
        <v>750</v>
      </c>
      <c r="L87" s="119">
        <v>1</v>
      </c>
      <c r="M87" s="119"/>
      <c r="N87" s="119"/>
      <c r="P87" s="724">
        <f>J87*F87*L87</f>
        <v>0</v>
      </c>
      <c r="Q87" s="724"/>
      <c r="T87" s="323"/>
      <c r="AC87" s="180"/>
      <c r="AE87" s="322"/>
      <c r="AP87" s="180"/>
      <c r="AQ87" s="608">
        <f>ROUND(SUM(P87:AE87),0)</f>
        <v>0</v>
      </c>
      <c r="AS87" s="323"/>
      <c r="AU87" s="322"/>
    </row>
    <row r="88" spans="2:47" ht="13.5" customHeight="1" x14ac:dyDescent="0.3">
      <c r="B88" s="125"/>
      <c r="C88" s="106" t="s">
        <v>807</v>
      </c>
      <c r="D88" s="115"/>
      <c r="E88" s="115"/>
      <c r="F88" s="180">
        <v>175</v>
      </c>
      <c r="L88" s="106">
        <v>1</v>
      </c>
      <c r="P88" s="724">
        <f>J88*F88*H88*L88</f>
        <v>0</v>
      </c>
      <c r="Q88" s="724"/>
      <c r="T88" s="323"/>
      <c r="AC88" s="180"/>
      <c r="AE88" s="322"/>
      <c r="AP88" s="180"/>
      <c r="AQ88" s="608">
        <f>ROUND(SUM(P88:AE88),0)</f>
        <v>0</v>
      </c>
      <c r="AS88" s="323"/>
      <c r="AU88" s="322"/>
    </row>
    <row r="89" spans="2:47" ht="13.5" customHeight="1" x14ac:dyDescent="0.3">
      <c r="B89" s="125"/>
      <c r="C89" s="106" t="s">
        <v>808</v>
      </c>
      <c r="D89" s="115"/>
      <c r="E89" s="115"/>
      <c r="F89" s="180">
        <f>Data!E40</f>
        <v>56</v>
      </c>
      <c r="L89" s="106">
        <v>1</v>
      </c>
      <c r="P89" s="724">
        <f t="shared" ref="P89" si="2">J89*F89*H89*L89</f>
        <v>0</v>
      </c>
      <c r="Q89" s="724"/>
      <c r="T89" s="323"/>
      <c r="AC89" s="180"/>
      <c r="AE89" s="322"/>
      <c r="AP89" s="180"/>
      <c r="AQ89" s="608">
        <f>ROUND(SUM(P89:AE89),0)</f>
        <v>0</v>
      </c>
      <c r="AS89" s="323"/>
      <c r="AU89" s="322"/>
    </row>
    <row r="90" spans="2:47" ht="12.75" customHeight="1" x14ac:dyDescent="0.3">
      <c r="B90" s="125"/>
      <c r="C90" s="482" t="s">
        <v>810</v>
      </c>
      <c r="D90" s="115"/>
      <c r="E90" s="115"/>
      <c r="F90" s="180">
        <f>'YEAR 2'!F90</f>
        <v>150</v>
      </c>
      <c r="L90" s="106">
        <v>1</v>
      </c>
      <c r="P90" s="724">
        <f>J90*F90*L90</f>
        <v>0</v>
      </c>
      <c r="Q90" s="724"/>
      <c r="T90" s="323"/>
      <c r="AC90" s="180"/>
      <c r="AE90" s="322"/>
      <c r="AP90" s="765">
        <f>ROUND(SUM(P90:AE90),0)</f>
        <v>0</v>
      </c>
      <c r="AQ90" s="765"/>
      <c r="AS90" s="323"/>
      <c r="AU90" s="322"/>
    </row>
    <row r="91" spans="2:47" ht="3" customHeight="1" x14ac:dyDescent="0.3">
      <c r="B91" s="125"/>
      <c r="D91" s="115"/>
      <c r="E91" s="115"/>
      <c r="F91" s="180"/>
      <c r="P91" s="106"/>
      <c r="Q91" s="106"/>
      <c r="R91" s="134"/>
      <c r="S91" s="134"/>
      <c r="T91" s="325"/>
      <c r="U91" s="134"/>
      <c r="V91" s="134"/>
      <c r="W91" s="134"/>
      <c r="X91" s="134"/>
      <c r="Y91" s="134"/>
      <c r="Z91" s="134"/>
      <c r="AA91" s="134"/>
      <c r="AB91" s="134"/>
      <c r="AC91" s="736"/>
      <c r="AD91" s="736"/>
      <c r="AE91" s="326"/>
      <c r="AF91" s="134"/>
      <c r="AG91" s="134"/>
      <c r="AH91" s="134"/>
      <c r="AI91" s="134"/>
      <c r="AJ91" s="134"/>
      <c r="AK91" s="134"/>
      <c r="AL91" s="134"/>
      <c r="AM91" s="134"/>
      <c r="AN91" s="134"/>
      <c r="AO91" s="134"/>
      <c r="AP91" s="763"/>
      <c r="AQ91" s="763"/>
      <c r="AS91" s="323"/>
      <c r="AU91" s="322"/>
    </row>
    <row r="92" spans="2:47" x14ac:dyDescent="0.3">
      <c r="B92" s="125"/>
      <c r="C92" s="109" t="str">
        <f>"Subtotal "&amp;C79</f>
        <v>Subtotal Domestic Travel</v>
      </c>
      <c r="D92" s="500"/>
      <c r="E92" s="500"/>
      <c r="F92" s="501"/>
      <c r="G92" s="431"/>
      <c r="H92" s="155"/>
      <c r="I92" s="155"/>
      <c r="J92" s="155"/>
      <c r="K92" s="155"/>
      <c r="L92" s="155"/>
      <c r="M92" s="155"/>
      <c r="N92" s="155"/>
      <c r="O92" s="155"/>
      <c r="P92" s="734">
        <f>ROUND(SUM(P80:Q91),0)</f>
        <v>0</v>
      </c>
      <c r="Q92" s="734"/>
      <c r="T92" s="323"/>
      <c r="AC92" s="106"/>
      <c r="AD92" s="278">
        <f>ROUND(SUM(AC80:AD91),0)</f>
        <v>0</v>
      </c>
      <c r="AE92" s="322"/>
      <c r="AP92" s="180"/>
      <c r="AQ92" s="607">
        <f>ROUND(SUM(AP80:AQ91),0)</f>
        <v>0</v>
      </c>
      <c r="AS92" s="323"/>
      <c r="AU92" s="322"/>
    </row>
    <row r="93" spans="2:47" ht="3" customHeight="1" x14ac:dyDescent="0.3">
      <c r="B93" s="125"/>
      <c r="D93" s="115"/>
      <c r="E93" s="115"/>
      <c r="F93" s="116"/>
      <c r="G93" s="116"/>
      <c r="T93" s="323"/>
      <c r="AE93" s="322"/>
      <c r="AP93" s="180"/>
      <c r="AQ93" s="180"/>
      <c r="AS93" s="323"/>
      <c r="AU93" s="322"/>
    </row>
    <row r="94" spans="2:47" ht="29.25" customHeight="1" x14ac:dyDescent="0.3">
      <c r="B94" s="131" t="s">
        <v>811</v>
      </c>
      <c r="C94" s="109" t="s">
        <v>707</v>
      </c>
      <c r="D94" s="115"/>
      <c r="E94" s="115"/>
      <c r="F94" s="116"/>
      <c r="G94" s="116"/>
      <c r="J94" s="540" t="s">
        <v>804</v>
      </c>
      <c r="L94" s="540" t="s">
        <v>812</v>
      </c>
      <c r="T94" s="323"/>
      <c r="AE94" s="322"/>
      <c r="AP94" s="180"/>
      <c r="AQ94" s="180"/>
      <c r="AS94" s="323"/>
      <c r="AU94" s="322"/>
    </row>
    <row r="95" spans="2:47" ht="12.75" customHeight="1" x14ac:dyDescent="0.3">
      <c r="B95" s="125"/>
      <c r="C95" s="109"/>
      <c r="D95" s="106">
        <f>'YEAR 1'!D95</f>
        <v>0</v>
      </c>
      <c r="E95" s="115"/>
      <c r="F95" s="157"/>
      <c r="L95" s="119"/>
      <c r="M95" s="119"/>
      <c r="N95" s="119"/>
      <c r="P95" s="130"/>
      <c r="Q95" s="130"/>
      <c r="T95" s="323"/>
      <c r="AC95" s="739"/>
      <c r="AD95" s="739"/>
      <c r="AE95" s="322"/>
      <c r="AP95" s="765">
        <f>ROUND(SUM(P95:AE95),0)</f>
        <v>0</v>
      </c>
      <c r="AQ95" s="765"/>
      <c r="AS95" s="323"/>
      <c r="AU95" s="322"/>
    </row>
    <row r="96" spans="2:47" ht="12.75" customHeight="1" x14ac:dyDescent="0.3">
      <c r="B96" s="125"/>
      <c r="C96" s="106" t="s">
        <v>806</v>
      </c>
      <c r="D96" s="115"/>
      <c r="E96" s="115"/>
      <c r="F96" s="180">
        <v>1300</v>
      </c>
      <c r="M96" s="119"/>
      <c r="N96" s="119"/>
      <c r="P96" s="724">
        <f>J96*F96*L96</f>
        <v>0</v>
      </c>
      <c r="Q96" s="724"/>
      <c r="T96" s="323"/>
      <c r="AC96" s="739"/>
      <c r="AD96" s="739"/>
      <c r="AE96" s="322"/>
      <c r="AP96" s="765">
        <f>ROUND(SUM(P96:AE96),0)</f>
        <v>0</v>
      </c>
      <c r="AQ96" s="765"/>
      <c r="AS96" s="323"/>
      <c r="AU96" s="322"/>
    </row>
    <row r="97" spans="1:47" ht="12.75" customHeight="1" x14ac:dyDescent="0.3">
      <c r="B97" s="125"/>
      <c r="C97" s="106" t="s">
        <v>807</v>
      </c>
      <c r="D97" s="115"/>
      <c r="E97" s="115"/>
      <c r="F97" s="180">
        <v>150</v>
      </c>
      <c r="P97" s="724">
        <f>J97*F97*H97*L97</f>
        <v>0</v>
      </c>
      <c r="Q97" s="724"/>
      <c r="T97" s="323"/>
      <c r="AC97" s="739"/>
      <c r="AD97" s="739"/>
      <c r="AE97" s="322"/>
      <c r="AP97" s="765">
        <f>ROUND(SUM(P97:AE97),0)</f>
        <v>0</v>
      </c>
      <c r="AQ97" s="765"/>
      <c r="AS97" s="323"/>
      <c r="AU97" s="322"/>
    </row>
    <row r="98" spans="1:47" ht="12.75" customHeight="1" x14ac:dyDescent="0.3">
      <c r="B98" s="125"/>
      <c r="C98" s="106" t="s">
        <v>808</v>
      </c>
      <c r="D98" s="115"/>
      <c r="E98" s="115"/>
      <c r="F98" s="180">
        <f>'YEAR 1'!F98</f>
        <v>60</v>
      </c>
      <c r="P98" s="724">
        <f t="shared" ref="P98" si="3">J98*F98*H98*L98</f>
        <v>0</v>
      </c>
      <c r="Q98" s="724"/>
      <c r="T98" s="323"/>
      <c r="AC98" s="740"/>
      <c r="AD98" s="740"/>
      <c r="AE98" s="322"/>
      <c r="AP98" s="765">
        <f>ROUND(SUM(P98:AE98),0)</f>
        <v>0</v>
      </c>
      <c r="AQ98" s="765"/>
      <c r="AS98" s="323"/>
      <c r="AU98" s="322"/>
    </row>
    <row r="99" spans="1:47" ht="12.75" customHeight="1" x14ac:dyDescent="0.3">
      <c r="B99" s="125"/>
      <c r="C99" s="482" t="s">
        <v>810</v>
      </c>
      <c r="D99" s="115"/>
      <c r="E99" s="115"/>
      <c r="F99" s="180">
        <v>200</v>
      </c>
      <c r="P99" s="724">
        <f>J99*F99*L99</f>
        <v>0</v>
      </c>
      <c r="Q99" s="724"/>
      <c r="T99" s="323"/>
      <c r="AC99" s="739"/>
      <c r="AD99" s="739"/>
      <c r="AE99" s="322"/>
      <c r="AP99" s="765">
        <f>ROUND(SUM(P99:AE99),0)</f>
        <v>0</v>
      </c>
      <c r="AQ99" s="765"/>
      <c r="AS99" s="323"/>
      <c r="AU99" s="322"/>
    </row>
    <row r="100" spans="1:47" ht="3" customHeight="1" x14ac:dyDescent="0.3">
      <c r="B100" s="125"/>
      <c r="C100" s="134"/>
      <c r="D100" s="132"/>
      <c r="E100" s="132"/>
      <c r="F100" s="296"/>
      <c r="G100" s="141"/>
      <c r="H100" s="134"/>
      <c r="I100" s="134"/>
      <c r="J100" s="134"/>
      <c r="K100" s="134"/>
      <c r="L100" s="134"/>
      <c r="P100" s="106"/>
      <c r="Q100" s="106"/>
      <c r="R100" s="134"/>
      <c r="S100" s="134"/>
      <c r="T100" s="325"/>
      <c r="U100" s="134"/>
      <c r="V100" s="134"/>
      <c r="W100" s="134"/>
      <c r="X100" s="134"/>
      <c r="Y100" s="134"/>
      <c r="Z100" s="134"/>
      <c r="AA100" s="134"/>
      <c r="AB100" s="134"/>
      <c r="AC100" s="736"/>
      <c r="AD100" s="736"/>
      <c r="AE100" s="326"/>
      <c r="AF100" s="134"/>
      <c r="AG100" s="134"/>
      <c r="AH100" s="134"/>
      <c r="AI100" s="134"/>
      <c r="AJ100" s="134"/>
      <c r="AK100" s="134"/>
      <c r="AL100" s="134"/>
      <c r="AM100" s="134"/>
      <c r="AN100" s="134"/>
      <c r="AO100" s="134"/>
      <c r="AP100" s="763"/>
      <c r="AQ100" s="763"/>
      <c r="AS100" s="323"/>
      <c r="AU100" s="322"/>
    </row>
    <row r="101" spans="1:47" ht="12.75" customHeight="1" x14ac:dyDescent="0.3">
      <c r="B101" s="125"/>
      <c r="C101" s="109" t="str">
        <f>"Subtotal "&amp;C94</f>
        <v>Subtotal International Travel</v>
      </c>
      <c r="D101" s="115"/>
      <c r="E101" s="115"/>
      <c r="F101" s="116"/>
      <c r="G101" s="116"/>
      <c r="M101" s="155"/>
      <c r="N101" s="155"/>
      <c r="O101" s="155"/>
      <c r="P101" s="734">
        <f>ROUND(SUM(P95:Q100),0)</f>
        <v>0</v>
      </c>
      <c r="Q101" s="734"/>
      <c r="R101" s="155"/>
      <c r="S101" s="155"/>
      <c r="T101" s="317"/>
      <c r="U101" s="155"/>
      <c r="V101" s="155"/>
      <c r="W101" s="155"/>
      <c r="X101" s="155"/>
      <c r="Y101" s="155"/>
      <c r="Z101" s="155"/>
      <c r="AA101" s="155"/>
      <c r="AB101" s="155"/>
      <c r="AC101" s="762">
        <f>ROUND(SUM(AC95:AD100),0)</f>
        <v>0</v>
      </c>
      <c r="AD101" s="762"/>
      <c r="AE101" s="318"/>
      <c r="AF101" s="155"/>
      <c r="AG101" s="155"/>
      <c r="AH101" s="155"/>
      <c r="AI101" s="155"/>
      <c r="AJ101" s="155"/>
      <c r="AK101" s="155"/>
      <c r="AL101" s="155"/>
      <c r="AM101" s="155"/>
      <c r="AN101" s="155"/>
      <c r="AO101" s="155"/>
      <c r="AP101" s="762">
        <f>ROUND(SUM(AP95:AQ100),0)</f>
        <v>0</v>
      </c>
      <c r="AQ101" s="762"/>
      <c r="AS101" s="323"/>
      <c r="AU101" s="322"/>
    </row>
    <row r="102" spans="1:47" ht="3" customHeight="1" x14ac:dyDescent="0.3">
      <c r="B102" s="772"/>
      <c r="C102" s="772"/>
      <c r="D102" s="772"/>
      <c r="E102" s="772"/>
      <c r="F102" s="772"/>
      <c r="G102" s="772"/>
      <c r="H102" s="772"/>
      <c r="I102" s="772"/>
      <c r="J102" s="772"/>
      <c r="K102" s="772"/>
      <c r="L102" s="772"/>
      <c r="M102" s="134"/>
      <c r="N102" s="134"/>
      <c r="O102" s="134"/>
      <c r="P102" s="736"/>
      <c r="Q102" s="736"/>
      <c r="R102" s="134"/>
      <c r="S102" s="134"/>
      <c r="T102" s="325"/>
      <c r="U102" s="134"/>
      <c r="V102" s="134"/>
      <c r="W102" s="134"/>
      <c r="X102" s="134"/>
      <c r="Y102" s="134"/>
      <c r="Z102" s="134"/>
      <c r="AA102" s="134"/>
      <c r="AB102" s="134"/>
      <c r="AC102" s="736"/>
      <c r="AD102" s="736"/>
      <c r="AE102" s="326"/>
      <c r="AF102" s="134"/>
      <c r="AG102" s="134"/>
      <c r="AH102" s="134"/>
      <c r="AI102" s="134"/>
      <c r="AJ102" s="134"/>
      <c r="AK102" s="134"/>
      <c r="AL102" s="134"/>
      <c r="AM102" s="134"/>
      <c r="AN102" s="134"/>
      <c r="AO102" s="134"/>
      <c r="AP102" s="763"/>
      <c r="AQ102" s="763"/>
      <c r="AS102" s="323"/>
      <c r="AU102" s="322"/>
    </row>
    <row r="103" spans="1:47" x14ac:dyDescent="0.3">
      <c r="B103" s="158" t="str">
        <f>"TOTAL "&amp;B78</f>
        <v>TOTAL TRAVEL</v>
      </c>
      <c r="C103" s="159"/>
      <c r="D103" s="170"/>
      <c r="E103" s="170"/>
      <c r="F103" s="171"/>
      <c r="G103" s="171"/>
      <c r="H103" s="159"/>
      <c r="I103" s="159"/>
      <c r="J103" s="159"/>
      <c r="K103" s="159"/>
      <c r="L103" s="159"/>
      <c r="M103" s="159"/>
      <c r="N103" s="159"/>
      <c r="O103" s="159"/>
      <c r="P103" s="761">
        <f>ROUND(P101+P92,0)</f>
        <v>0</v>
      </c>
      <c r="Q103" s="761"/>
      <c r="R103" s="159"/>
      <c r="S103" s="159"/>
      <c r="T103" s="327"/>
      <c r="U103" s="159"/>
      <c r="V103" s="159"/>
      <c r="W103" s="159"/>
      <c r="X103" s="159"/>
      <c r="Y103" s="159"/>
      <c r="Z103" s="159"/>
      <c r="AA103" s="159"/>
      <c r="AB103" s="159"/>
      <c r="AC103" s="761">
        <f>ROUND(AC101+AD92,0)</f>
        <v>0</v>
      </c>
      <c r="AD103" s="761"/>
      <c r="AE103" s="328"/>
      <c r="AF103" s="159"/>
      <c r="AG103" s="159"/>
      <c r="AH103" s="159"/>
      <c r="AI103" s="159"/>
      <c r="AJ103" s="159"/>
      <c r="AK103" s="159"/>
      <c r="AL103" s="159"/>
      <c r="AM103" s="159"/>
      <c r="AN103" s="159"/>
      <c r="AO103" s="159"/>
      <c r="AP103" s="298"/>
      <c r="AQ103" s="609">
        <f>ROUND(SUM(P103:AE103),0)</f>
        <v>0</v>
      </c>
      <c r="AS103" s="323"/>
      <c r="AU103" s="322"/>
    </row>
    <row r="104" spans="1:47" ht="3" customHeight="1" x14ac:dyDescent="0.3">
      <c r="D104" s="115"/>
      <c r="E104" s="115"/>
      <c r="F104" s="116"/>
      <c r="G104" s="116"/>
      <c r="T104" s="323"/>
      <c r="AE104" s="322"/>
      <c r="AP104" s="180"/>
      <c r="AQ104" s="180"/>
      <c r="AS104" s="323"/>
      <c r="AU104" s="322"/>
    </row>
    <row r="105" spans="1:47" x14ac:dyDescent="0.3">
      <c r="A105" s="109" t="s">
        <v>672</v>
      </c>
      <c r="B105" s="109" t="s">
        <v>813</v>
      </c>
      <c r="D105" s="115"/>
      <c r="E105" s="115"/>
      <c r="F105" s="116"/>
      <c r="G105" s="116"/>
      <c r="T105" s="323"/>
      <c r="AE105" s="322"/>
      <c r="AP105" s="180"/>
      <c r="AQ105" s="180"/>
      <c r="AS105" s="323"/>
      <c r="AU105" s="322"/>
    </row>
    <row r="106" spans="1:47" ht="12.75" customHeight="1" x14ac:dyDescent="0.3">
      <c r="A106" s="109"/>
      <c r="B106" s="131" t="s">
        <v>802</v>
      </c>
      <c r="C106" s="109" t="s">
        <v>814</v>
      </c>
      <c r="D106" s="115"/>
      <c r="E106" s="115"/>
      <c r="F106" s="116"/>
      <c r="G106" s="116"/>
      <c r="T106" s="323"/>
      <c r="AE106" s="322"/>
      <c r="AP106" s="180"/>
      <c r="AQ106" s="180"/>
      <c r="AS106" s="323"/>
      <c r="AU106" s="322"/>
    </row>
    <row r="107" spans="1:47" ht="12.75" customHeight="1" x14ac:dyDescent="0.3">
      <c r="B107" s="125"/>
      <c r="D107" s="115"/>
      <c r="E107" s="115"/>
      <c r="F107" s="116"/>
      <c r="G107" s="116"/>
      <c r="P107" s="724"/>
      <c r="Q107" s="724"/>
      <c r="T107" s="323"/>
      <c r="AC107" s="739"/>
      <c r="AD107" s="739"/>
      <c r="AE107" s="322"/>
      <c r="AP107" s="765">
        <f>ROUND(SUM(P107:AE107),0)</f>
        <v>0</v>
      </c>
      <c r="AQ107" s="765"/>
      <c r="AS107" s="323"/>
      <c r="AU107" s="322"/>
    </row>
    <row r="108" spans="1:47" ht="12.75" customHeight="1" x14ac:dyDescent="0.3">
      <c r="B108" s="125"/>
      <c r="D108" s="115"/>
      <c r="E108" s="115"/>
      <c r="F108" s="116"/>
      <c r="G108" s="116"/>
      <c r="P108" s="724"/>
      <c r="Q108" s="724"/>
      <c r="T108" s="323"/>
      <c r="AC108" s="739"/>
      <c r="AD108" s="739"/>
      <c r="AE108" s="322"/>
      <c r="AP108" s="765">
        <f>ROUND(SUM(P108:AE108),0)</f>
        <v>0</v>
      </c>
      <c r="AQ108" s="765"/>
      <c r="AS108" s="323"/>
      <c r="AU108" s="322"/>
    </row>
    <row r="109" spans="1:47" ht="12.75" customHeight="1" x14ac:dyDescent="0.3">
      <c r="B109" s="125"/>
      <c r="D109" s="115"/>
      <c r="E109" s="115"/>
      <c r="F109" s="116"/>
      <c r="G109" s="116"/>
      <c r="P109" s="724"/>
      <c r="Q109" s="724"/>
      <c r="T109" s="323"/>
      <c r="AC109" s="739"/>
      <c r="AD109" s="739"/>
      <c r="AE109" s="322"/>
      <c r="AP109" s="765">
        <f>ROUND(SUM(P109:AE109),0)</f>
        <v>0</v>
      </c>
      <c r="AQ109" s="765"/>
      <c r="AS109" s="323"/>
      <c r="AU109" s="322"/>
    </row>
    <row r="110" spans="1:47" ht="12.75" customHeight="1" x14ac:dyDescent="0.3">
      <c r="B110" s="125"/>
      <c r="D110" s="115"/>
      <c r="E110" s="115"/>
      <c r="F110" s="116"/>
      <c r="G110" s="116"/>
      <c r="P110" s="724"/>
      <c r="Q110" s="724"/>
      <c r="T110" s="323"/>
      <c r="AC110" s="739"/>
      <c r="AD110" s="739"/>
      <c r="AE110" s="322"/>
      <c r="AP110" s="765">
        <f>ROUND(SUM(P110:AE110),0)</f>
        <v>0</v>
      </c>
      <c r="AQ110" s="765"/>
      <c r="AS110" s="323"/>
      <c r="AU110" s="322"/>
    </row>
    <row r="111" spans="1:47" ht="12.75" customHeight="1" x14ac:dyDescent="0.3">
      <c r="B111" s="125"/>
      <c r="D111" s="115"/>
      <c r="E111" s="115"/>
      <c r="F111" s="116"/>
      <c r="G111" s="116"/>
      <c r="P111" s="724"/>
      <c r="Q111" s="724"/>
      <c r="T111" s="323"/>
      <c r="AC111" s="739"/>
      <c r="AD111" s="739"/>
      <c r="AE111" s="322"/>
      <c r="AP111" s="765">
        <f>ROUND(SUM(P111:AE111),0)</f>
        <v>0</v>
      </c>
      <c r="AQ111" s="765"/>
      <c r="AS111" s="323"/>
      <c r="AU111" s="322"/>
    </row>
    <row r="112" spans="1:47" ht="4.5" customHeight="1" x14ac:dyDescent="0.3">
      <c r="B112" s="125"/>
      <c r="D112" s="132"/>
      <c r="E112" s="132"/>
      <c r="F112" s="133"/>
      <c r="G112" s="133"/>
      <c r="H112" s="134"/>
      <c r="I112" s="134"/>
      <c r="J112" s="134"/>
      <c r="K112" s="134"/>
      <c r="L112" s="134"/>
      <c r="M112" s="134"/>
      <c r="N112" s="134"/>
      <c r="O112" s="134"/>
      <c r="P112" s="736"/>
      <c r="Q112" s="736"/>
      <c r="R112" s="134"/>
      <c r="S112" s="134"/>
      <c r="T112" s="325"/>
      <c r="U112" s="134"/>
      <c r="V112" s="134"/>
      <c r="W112" s="134"/>
      <c r="X112" s="134"/>
      <c r="Y112" s="134"/>
      <c r="Z112" s="134"/>
      <c r="AA112" s="134"/>
      <c r="AB112" s="134"/>
      <c r="AC112" s="736"/>
      <c r="AD112" s="736"/>
      <c r="AE112" s="326"/>
      <c r="AF112" s="134"/>
      <c r="AG112" s="134"/>
      <c r="AH112" s="134"/>
      <c r="AI112" s="134"/>
      <c r="AJ112" s="134"/>
      <c r="AK112" s="134"/>
      <c r="AL112" s="134"/>
      <c r="AM112" s="134"/>
      <c r="AN112" s="134"/>
      <c r="AO112" s="134"/>
      <c r="AP112" s="763"/>
      <c r="AQ112" s="763"/>
      <c r="AS112" s="323"/>
      <c r="AU112" s="322"/>
    </row>
    <row r="113" spans="1:47" ht="12.75" customHeight="1" x14ac:dyDescent="0.3">
      <c r="B113" s="125"/>
      <c r="C113" s="109" t="str">
        <f>"Subtotal "&amp;C106</f>
        <v>Subtotal Tuition/Fees/Health Insurance</v>
      </c>
      <c r="D113" s="115"/>
      <c r="E113" s="115"/>
      <c r="F113" s="116"/>
      <c r="G113" s="116"/>
      <c r="P113" s="734">
        <f>ROUND(SUM(P107:Q112),0)</f>
        <v>0</v>
      </c>
      <c r="Q113" s="734"/>
      <c r="T113" s="323"/>
      <c r="AC113" s="762">
        <f>ROUND(SUM(AC107:AD112),0)</f>
        <v>0</v>
      </c>
      <c r="AD113" s="762"/>
      <c r="AE113" s="322"/>
      <c r="AP113" s="762">
        <f>ROUND(SUM(AP107:AQ112),0)</f>
        <v>0</v>
      </c>
      <c r="AQ113" s="762"/>
      <c r="AS113" s="323"/>
      <c r="AU113" s="322"/>
    </row>
    <row r="114" spans="1:47" ht="3.75" customHeight="1" x14ac:dyDescent="0.3">
      <c r="B114" s="125"/>
      <c r="C114" s="109"/>
      <c r="D114" s="115"/>
      <c r="E114" s="115"/>
      <c r="F114" s="116"/>
      <c r="G114" s="116"/>
      <c r="P114" s="108"/>
      <c r="Q114" s="108"/>
      <c r="T114" s="323"/>
      <c r="AC114" s="113"/>
      <c r="AD114" s="278"/>
      <c r="AE114" s="322"/>
      <c r="AS114" s="323"/>
      <c r="AU114" s="322"/>
    </row>
    <row r="115" spans="1:47" ht="12.75" customHeight="1" x14ac:dyDescent="0.3">
      <c r="A115" s="109"/>
      <c r="B115" s="131" t="s">
        <v>811</v>
      </c>
      <c r="C115" s="109" t="s">
        <v>713</v>
      </c>
      <c r="D115" s="115"/>
      <c r="E115" s="115"/>
      <c r="F115" s="116"/>
      <c r="G115" s="116"/>
      <c r="T115" s="323"/>
      <c r="AE115" s="322"/>
      <c r="AP115" s="180"/>
      <c r="AQ115" s="180"/>
      <c r="AS115" s="323"/>
      <c r="AU115" s="322"/>
    </row>
    <row r="116" spans="1:47" ht="12.75" customHeight="1" x14ac:dyDescent="0.3">
      <c r="B116" s="125"/>
      <c r="D116" s="115"/>
      <c r="E116" s="115"/>
      <c r="F116" s="116"/>
      <c r="G116" s="116"/>
      <c r="P116" s="724"/>
      <c r="Q116" s="724"/>
      <c r="T116" s="323"/>
      <c r="AC116" s="739"/>
      <c r="AD116" s="739"/>
      <c r="AE116" s="322"/>
      <c r="AP116" s="765">
        <f>ROUND(SUM(P116:AE116),0)</f>
        <v>0</v>
      </c>
      <c r="AQ116" s="765"/>
      <c r="AS116" s="323"/>
      <c r="AU116" s="322"/>
    </row>
    <row r="117" spans="1:47" ht="12.75" customHeight="1" x14ac:dyDescent="0.3">
      <c r="B117" s="125"/>
      <c r="D117" s="115"/>
      <c r="E117" s="115"/>
      <c r="F117" s="116"/>
      <c r="G117" s="116"/>
      <c r="P117" s="724"/>
      <c r="Q117" s="724"/>
      <c r="T117" s="323"/>
      <c r="AC117" s="739"/>
      <c r="AD117" s="739"/>
      <c r="AE117" s="322"/>
      <c r="AP117" s="765">
        <f>ROUND(SUM(P117:AE117),0)</f>
        <v>0</v>
      </c>
      <c r="AQ117" s="765"/>
      <c r="AS117" s="323"/>
      <c r="AU117" s="322"/>
    </row>
    <row r="118" spans="1:47" ht="12.75" customHeight="1" x14ac:dyDescent="0.3">
      <c r="B118" s="125"/>
      <c r="D118" s="115"/>
      <c r="E118" s="115"/>
      <c r="F118" s="116"/>
      <c r="G118" s="116"/>
      <c r="P118" s="724"/>
      <c r="Q118" s="724"/>
      <c r="T118" s="323"/>
      <c r="AC118" s="739"/>
      <c r="AD118" s="739"/>
      <c r="AE118" s="322"/>
      <c r="AP118" s="765">
        <f>ROUND(SUM(P118:AE118),0)</f>
        <v>0</v>
      </c>
      <c r="AQ118" s="765"/>
      <c r="AS118" s="323"/>
      <c r="AU118" s="322"/>
    </row>
    <row r="119" spans="1:47" ht="12.75" customHeight="1" x14ac:dyDescent="0.3">
      <c r="B119" s="125"/>
      <c r="D119" s="115"/>
      <c r="E119" s="115"/>
      <c r="F119" s="116"/>
      <c r="G119" s="116"/>
      <c r="P119" s="724"/>
      <c r="Q119" s="724"/>
      <c r="T119" s="323"/>
      <c r="AC119" s="739"/>
      <c r="AD119" s="739"/>
      <c r="AE119" s="322"/>
      <c r="AP119" s="765">
        <f>ROUND(SUM(P119:AE119),0)</f>
        <v>0</v>
      </c>
      <c r="AQ119" s="765"/>
      <c r="AS119" s="323"/>
      <c r="AU119" s="322"/>
    </row>
    <row r="120" spans="1:47" ht="12.75" customHeight="1" x14ac:dyDescent="0.3">
      <c r="B120" s="125"/>
      <c r="D120" s="115"/>
      <c r="E120" s="115"/>
      <c r="F120" s="116"/>
      <c r="G120" s="116"/>
      <c r="P120" s="724"/>
      <c r="Q120" s="724"/>
      <c r="T120" s="323"/>
      <c r="AC120" s="739"/>
      <c r="AD120" s="739"/>
      <c r="AE120" s="322"/>
      <c r="AP120" s="765">
        <f>ROUND(SUM(P120:AE120),0)</f>
        <v>0</v>
      </c>
      <c r="AQ120" s="765"/>
      <c r="AS120" s="323"/>
      <c r="AU120" s="322"/>
    </row>
    <row r="121" spans="1:47" ht="4.5" customHeight="1" x14ac:dyDescent="0.3">
      <c r="B121" s="125"/>
      <c r="D121" s="132"/>
      <c r="E121" s="132"/>
      <c r="F121" s="133"/>
      <c r="G121" s="133"/>
      <c r="H121" s="134"/>
      <c r="I121" s="134"/>
      <c r="J121" s="134"/>
      <c r="K121" s="134"/>
      <c r="L121" s="134"/>
      <c r="M121" s="134"/>
      <c r="N121" s="134"/>
      <c r="O121" s="134"/>
      <c r="P121" s="736"/>
      <c r="Q121" s="736"/>
      <c r="R121" s="134"/>
      <c r="S121" s="134"/>
      <c r="T121" s="325"/>
      <c r="U121" s="134"/>
      <c r="V121" s="134"/>
      <c r="W121" s="134"/>
      <c r="X121" s="134"/>
      <c r="Y121" s="134"/>
      <c r="Z121" s="134"/>
      <c r="AA121" s="134"/>
      <c r="AB121" s="134"/>
      <c r="AC121" s="736"/>
      <c r="AD121" s="736"/>
      <c r="AE121" s="326"/>
      <c r="AF121" s="134"/>
      <c r="AG121" s="134"/>
      <c r="AH121" s="134"/>
      <c r="AI121" s="134"/>
      <c r="AJ121" s="134"/>
      <c r="AK121" s="134"/>
      <c r="AL121" s="134"/>
      <c r="AM121" s="134"/>
      <c r="AN121" s="134"/>
      <c r="AO121" s="134"/>
      <c r="AP121" s="763"/>
      <c r="AQ121" s="763"/>
      <c r="AS121" s="323"/>
      <c r="AU121" s="322"/>
    </row>
    <row r="122" spans="1:47" ht="12.75" customHeight="1" x14ac:dyDescent="0.3">
      <c r="B122" s="125"/>
      <c r="C122" s="109" t="str">
        <f>"Subtotal "&amp;C115</f>
        <v>Subtotal Stipends</v>
      </c>
      <c r="D122" s="115"/>
      <c r="E122" s="115"/>
      <c r="F122" s="116"/>
      <c r="G122" s="116"/>
      <c r="P122" s="734">
        <f>ROUND(SUM(P116:Q121),0)</f>
        <v>0</v>
      </c>
      <c r="Q122" s="734"/>
      <c r="T122" s="323"/>
      <c r="AC122" s="762">
        <f>ROUND(SUM(AC116:AD121),0)</f>
        <v>0</v>
      </c>
      <c r="AD122" s="762"/>
      <c r="AE122" s="322"/>
      <c r="AP122" s="762">
        <f>ROUND(SUM(AP116:AQ121),0)</f>
        <v>0</v>
      </c>
      <c r="AQ122" s="762"/>
      <c r="AS122" s="323"/>
      <c r="AU122" s="322"/>
    </row>
    <row r="123" spans="1:47" ht="3.75" customHeight="1" x14ac:dyDescent="0.3">
      <c r="B123" s="125"/>
      <c r="C123" s="109"/>
      <c r="D123" s="115"/>
      <c r="E123" s="115"/>
      <c r="F123" s="116"/>
      <c r="G123" s="116"/>
      <c r="P123" s="108"/>
      <c r="Q123" s="108"/>
      <c r="T123" s="323"/>
      <c r="AC123" s="113"/>
      <c r="AD123" s="278"/>
      <c r="AE123" s="322"/>
      <c r="AS123" s="323"/>
      <c r="AU123" s="322"/>
    </row>
    <row r="124" spans="1:47" ht="12.75" customHeight="1" x14ac:dyDescent="0.3">
      <c r="A124" s="109"/>
      <c r="B124" s="131" t="s">
        <v>815</v>
      </c>
      <c r="C124" s="109" t="s">
        <v>703</v>
      </c>
      <c r="D124" s="115"/>
      <c r="E124" s="115"/>
      <c r="F124" s="116"/>
      <c r="G124" s="116"/>
      <c r="T124" s="323"/>
      <c r="AE124" s="322"/>
      <c r="AP124" s="180"/>
      <c r="AQ124" s="180"/>
      <c r="AS124" s="323"/>
      <c r="AU124" s="322"/>
    </row>
    <row r="125" spans="1:47" ht="12.75" customHeight="1" x14ac:dyDescent="0.3">
      <c r="B125" s="125"/>
      <c r="E125" s="115"/>
      <c r="F125" s="116"/>
      <c r="G125" s="116"/>
      <c r="P125" s="724"/>
      <c r="Q125" s="724"/>
      <c r="T125" s="323"/>
      <c r="AC125" s="739"/>
      <c r="AD125" s="739"/>
      <c r="AE125" s="322"/>
      <c r="AP125" s="765">
        <f>ROUND(SUM(P125:AE125),0)</f>
        <v>0</v>
      </c>
      <c r="AQ125" s="765"/>
      <c r="AS125" s="323"/>
      <c r="AU125" s="322"/>
    </row>
    <row r="126" spans="1:47" ht="12.75" customHeight="1" x14ac:dyDescent="0.3">
      <c r="B126" s="125"/>
      <c r="E126" s="115"/>
      <c r="F126" s="116"/>
      <c r="G126" s="116"/>
      <c r="P126" s="724"/>
      <c r="Q126" s="724"/>
      <c r="T126" s="323"/>
      <c r="AC126" s="739"/>
      <c r="AD126" s="739"/>
      <c r="AE126" s="322"/>
      <c r="AP126" s="765">
        <f>ROUND(SUM(P126:AE126),0)</f>
        <v>0</v>
      </c>
      <c r="AQ126" s="765"/>
      <c r="AS126" s="323"/>
      <c r="AU126" s="322"/>
    </row>
    <row r="127" spans="1:47" ht="12.75" customHeight="1" x14ac:dyDescent="0.3">
      <c r="B127" s="125"/>
      <c r="D127" s="115"/>
      <c r="E127" s="115"/>
      <c r="F127" s="116"/>
      <c r="G127" s="116"/>
      <c r="P127" s="724"/>
      <c r="Q127" s="724"/>
      <c r="T127" s="323"/>
      <c r="AC127" s="739"/>
      <c r="AD127" s="739"/>
      <c r="AE127" s="322"/>
      <c r="AP127" s="765">
        <f>ROUND(SUM(P127:AE127),0)</f>
        <v>0</v>
      </c>
      <c r="AQ127" s="765"/>
      <c r="AS127" s="323"/>
      <c r="AU127" s="322"/>
    </row>
    <row r="128" spans="1:47" ht="12.75" customHeight="1" x14ac:dyDescent="0.3">
      <c r="B128" s="125"/>
      <c r="D128" s="115"/>
      <c r="E128" s="115"/>
      <c r="F128" s="116"/>
      <c r="G128" s="116"/>
      <c r="P128" s="724"/>
      <c r="Q128" s="724"/>
      <c r="T128" s="323"/>
      <c r="AC128" s="739"/>
      <c r="AD128" s="739"/>
      <c r="AE128" s="322"/>
      <c r="AP128" s="765">
        <f>ROUND(SUM(P128:AE128),0)</f>
        <v>0</v>
      </c>
      <c r="AQ128" s="765"/>
      <c r="AS128" s="323"/>
      <c r="AU128" s="322"/>
    </row>
    <row r="129" spans="1:47" ht="12.75" customHeight="1" x14ac:dyDescent="0.3">
      <c r="B129" s="125"/>
      <c r="D129" s="115"/>
      <c r="E129" s="115"/>
      <c r="F129" s="116"/>
      <c r="G129" s="116"/>
      <c r="P129" s="724"/>
      <c r="Q129" s="724"/>
      <c r="T129" s="323"/>
      <c r="AC129" s="739"/>
      <c r="AD129" s="739"/>
      <c r="AE129" s="322"/>
      <c r="AP129" s="765">
        <f>ROUND(SUM(P129:AE129),0)</f>
        <v>0</v>
      </c>
      <c r="AQ129" s="765"/>
      <c r="AS129" s="323"/>
      <c r="AU129" s="322"/>
    </row>
    <row r="130" spans="1:47" ht="4.5" customHeight="1" x14ac:dyDescent="0.3">
      <c r="B130" s="125"/>
      <c r="D130" s="132"/>
      <c r="E130" s="132"/>
      <c r="F130" s="133"/>
      <c r="G130" s="133"/>
      <c r="H130" s="134"/>
      <c r="I130" s="134"/>
      <c r="J130" s="134"/>
      <c r="K130" s="134"/>
      <c r="L130" s="134"/>
      <c r="M130" s="134"/>
      <c r="N130" s="134"/>
      <c r="O130" s="134"/>
      <c r="P130" s="736"/>
      <c r="Q130" s="736"/>
      <c r="R130" s="134"/>
      <c r="S130" s="134"/>
      <c r="T130" s="325"/>
      <c r="U130" s="134"/>
      <c r="V130" s="134"/>
      <c r="W130" s="134"/>
      <c r="X130" s="134"/>
      <c r="Y130" s="134"/>
      <c r="Z130" s="134"/>
      <c r="AA130" s="134"/>
      <c r="AB130" s="134"/>
      <c r="AC130" s="736"/>
      <c r="AD130" s="736"/>
      <c r="AE130" s="326"/>
      <c r="AF130" s="134"/>
      <c r="AG130" s="134"/>
      <c r="AH130" s="134"/>
      <c r="AI130" s="134"/>
      <c r="AJ130" s="134"/>
      <c r="AK130" s="134"/>
      <c r="AL130" s="134"/>
      <c r="AM130" s="134"/>
      <c r="AN130" s="134"/>
      <c r="AO130" s="134"/>
      <c r="AP130" s="763"/>
      <c r="AQ130" s="763"/>
      <c r="AS130" s="323"/>
      <c r="AU130" s="322"/>
    </row>
    <row r="131" spans="1:47" ht="12.75" customHeight="1" x14ac:dyDescent="0.3">
      <c r="B131" s="125"/>
      <c r="C131" s="109" t="str">
        <f>"Subtotal "&amp;C124</f>
        <v>Subtotal Travel</v>
      </c>
      <c r="D131" s="115"/>
      <c r="E131" s="115"/>
      <c r="F131" s="116"/>
      <c r="G131" s="116"/>
      <c r="P131" s="734">
        <f>ROUND(SUM(P125:Q130),0)</f>
        <v>0</v>
      </c>
      <c r="Q131" s="734"/>
      <c r="T131" s="323"/>
      <c r="AC131" s="762">
        <f>ROUND(SUM(AC125:AD130),0)</f>
        <v>0</v>
      </c>
      <c r="AD131" s="762"/>
      <c r="AE131" s="322"/>
      <c r="AP131" s="762">
        <f>ROUND(SUM(AP125:AQ130),0)</f>
        <v>0</v>
      </c>
      <c r="AQ131" s="762"/>
      <c r="AS131" s="323"/>
      <c r="AU131" s="322"/>
    </row>
    <row r="132" spans="1:47" ht="3.75" customHeight="1" x14ac:dyDescent="0.3">
      <c r="B132" s="125"/>
      <c r="C132" s="109"/>
      <c r="D132" s="115"/>
      <c r="E132" s="115"/>
      <c r="F132" s="116"/>
      <c r="G132" s="116"/>
      <c r="P132" s="108"/>
      <c r="Q132" s="108"/>
      <c r="T132" s="323"/>
      <c r="AC132" s="113"/>
      <c r="AD132" s="278"/>
      <c r="AE132" s="322"/>
      <c r="AS132" s="323"/>
      <c r="AU132" s="322"/>
    </row>
    <row r="133" spans="1:47" ht="12.75" customHeight="1" x14ac:dyDescent="0.3">
      <c r="A133" s="109"/>
      <c r="B133" s="131" t="s">
        <v>816</v>
      </c>
      <c r="C133" s="109" t="s">
        <v>714</v>
      </c>
      <c r="D133" s="115"/>
      <c r="E133" s="115"/>
      <c r="F133" s="116"/>
      <c r="G133" s="116"/>
      <c r="T133" s="323"/>
      <c r="AE133" s="322"/>
      <c r="AP133" s="180"/>
      <c r="AQ133" s="180"/>
      <c r="AS133" s="323"/>
      <c r="AU133" s="322"/>
    </row>
    <row r="134" spans="1:47" ht="12.75" customHeight="1" x14ac:dyDescent="0.3">
      <c r="B134" s="125"/>
      <c r="D134" s="115"/>
      <c r="E134" s="115"/>
      <c r="F134" s="116"/>
      <c r="G134" s="116"/>
      <c r="P134" s="724"/>
      <c r="Q134" s="724"/>
      <c r="T134" s="323"/>
      <c r="AC134" s="739"/>
      <c r="AD134" s="739"/>
      <c r="AE134" s="322"/>
      <c r="AP134" s="765">
        <f>ROUND(SUM(P134:AE134),0)</f>
        <v>0</v>
      </c>
      <c r="AQ134" s="765"/>
      <c r="AS134" s="323"/>
      <c r="AU134" s="322"/>
    </row>
    <row r="135" spans="1:47" ht="12.75" customHeight="1" x14ac:dyDescent="0.3">
      <c r="B135" s="125"/>
      <c r="D135" s="115"/>
      <c r="E135" s="115"/>
      <c r="F135" s="116"/>
      <c r="G135" s="116"/>
      <c r="P135" s="724"/>
      <c r="Q135" s="724"/>
      <c r="T135" s="323"/>
      <c r="AC135" s="739"/>
      <c r="AD135" s="739"/>
      <c r="AE135" s="322"/>
      <c r="AP135" s="765">
        <f>ROUND(SUM(P135:AE135),0)</f>
        <v>0</v>
      </c>
      <c r="AQ135" s="765"/>
      <c r="AS135" s="323"/>
      <c r="AU135" s="322"/>
    </row>
    <row r="136" spans="1:47" ht="12.75" customHeight="1" x14ac:dyDescent="0.3">
      <c r="B136" s="125"/>
      <c r="D136" s="115"/>
      <c r="E136" s="115"/>
      <c r="F136" s="116"/>
      <c r="G136" s="116"/>
      <c r="P136" s="724"/>
      <c r="Q136" s="724"/>
      <c r="T136" s="323"/>
      <c r="AC136" s="739"/>
      <c r="AD136" s="739"/>
      <c r="AE136" s="322"/>
      <c r="AP136" s="765">
        <f>ROUND(SUM(P136:AE136),0)</f>
        <v>0</v>
      </c>
      <c r="AQ136" s="765"/>
      <c r="AS136" s="323"/>
      <c r="AU136" s="322"/>
    </row>
    <row r="137" spans="1:47" ht="12.75" customHeight="1" x14ac:dyDescent="0.3">
      <c r="B137" s="125"/>
      <c r="D137" s="115"/>
      <c r="E137" s="115"/>
      <c r="F137" s="116"/>
      <c r="G137" s="116"/>
      <c r="P137" s="724"/>
      <c r="Q137" s="724"/>
      <c r="T137" s="323"/>
      <c r="AC137" s="739"/>
      <c r="AD137" s="739"/>
      <c r="AE137" s="322"/>
      <c r="AP137" s="765">
        <f>ROUND(SUM(P137:AE137),0)</f>
        <v>0</v>
      </c>
      <c r="AQ137" s="765"/>
      <c r="AS137" s="323"/>
      <c r="AU137" s="322"/>
    </row>
    <row r="138" spans="1:47" ht="12.75" customHeight="1" x14ac:dyDescent="0.3">
      <c r="B138" s="125"/>
      <c r="D138" s="115"/>
      <c r="E138" s="115"/>
      <c r="F138" s="116"/>
      <c r="G138" s="116"/>
      <c r="P138" s="724"/>
      <c r="Q138" s="724"/>
      <c r="T138" s="323"/>
      <c r="AC138" s="739"/>
      <c r="AD138" s="739"/>
      <c r="AE138" s="322"/>
      <c r="AP138" s="765">
        <f>ROUND(SUM(P138:AE138),0)</f>
        <v>0</v>
      </c>
      <c r="AQ138" s="765"/>
      <c r="AS138" s="323"/>
      <c r="AU138" s="322"/>
    </row>
    <row r="139" spans="1:47" ht="4.5" customHeight="1" x14ac:dyDescent="0.3">
      <c r="B139" s="125"/>
      <c r="D139" s="132"/>
      <c r="E139" s="132"/>
      <c r="F139" s="133"/>
      <c r="G139" s="133"/>
      <c r="H139" s="134"/>
      <c r="I139" s="134"/>
      <c r="J139" s="134"/>
      <c r="K139" s="134"/>
      <c r="L139" s="134"/>
      <c r="M139" s="134"/>
      <c r="N139" s="134"/>
      <c r="O139" s="134"/>
      <c r="P139" s="736"/>
      <c r="Q139" s="736"/>
      <c r="R139" s="134"/>
      <c r="S139" s="134"/>
      <c r="T139" s="325"/>
      <c r="U139" s="134"/>
      <c r="V139" s="134"/>
      <c r="W139" s="134"/>
      <c r="X139" s="134"/>
      <c r="Y139" s="134"/>
      <c r="Z139" s="134"/>
      <c r="AA139" s="134"/>
      <c r="AB139" s="134"/>
      <c r="AC139" s="736"/>
      <c r="AD139" s="736"/>
      <c r="AE139" s="326"/>
      <c r="AF139" s="134"/>
      <c r="AG139" s="134"/>
      <c r="AH139" s="134"/>
      <c r="AI139" s="134"/>
      <c r="AJ139" s="134"/>
      <c r="AK139" s="134"/>
      <c r="AL139" s="134"/>
      <c r="AM139" s="134"/>
      <c r="AN139" s="134"/>
      <c r="AO139" s="134"/>
      <c r="AP139" s="763"/>
      <c r="AQ139" s="763"/>
      <c r="AS139" s="323"/>
      <c r="AU139" s="322"/>
    </row>
    <row r="140" spans="1:47" ht="12.75" customHeight="1" x14ac:dyDescent="0.3">
      <c r="B140" s="125"/>
      <c r="C140" s="109" t="str">
        <f>"Subtotal "&amp;C133</f>
        <v>Subtotal Subsistence</v>
      </c>
      <c r="D140" s="115"/>
      <c r="E140" s="115"/>
      <c r="F140" s="116"/>
      <c r="G140" s="116"/>
      <c r="P140" s="734">
        <f>ROUND(SUM(P134:Q139),0)</f>
        <v>0</v>
      </c>
      <c r="Q140" s="734"/>
      <c r="T140" s="323"/>
      <c r="AC140" s="762">
        <f>ROUND(SUM(AC134:AD139),0)</f>
        <v>0</v>
      </c>
      <c r="AD140" s="762"/>
      <c r="AE140" s="322"/>
      <c r="AP140" s="762">
        <f>ROUND(SUM(AP134:AQ139),0)</f>
        <v>0</v>
      </c>
      <c r="AQ140" s="762"/>
      <c r="AS140" s="323"/>
      <c r="AU140" s="322"/>
    </row>
    <row r="141" spans="1:47" ht="9" customHeight="1" x14ac:dyDescent="0.3">
      <c r="B141" s="125"/>
      <c r="C141" s="109"/>
      <c r="D141" s="115"/>
      <c r="E141" s="115"/>
      <c r="F141" s="116"/>
      <c r="G141" s="116"/>
      <c r="P141" s="108"/>
      <c r="Q141" s="108"/>
      <c r="T141" s="323"/>
      <c r="AC141" s="113"/>
      <c r="AD141" s="278"/>
      <c r="AE141" s="322"/>
      <c r="AS141" s="323"/>
      <c r="AU141" s="322"/>
    </row>
    <row r="142" spans="1:47" ht="12.75" customHeight="1" x14ac:dyDescent="0.3">
      <c r="A142" s="109"/>
      <c r="B142" s="131" t="s">
        <v>817</v>
      </c>
      <c r="C142" s="109" t="s">
        <v>679</v>
      </c>
      <c r="D142" s="115"/>
      <c r="E142" s="115"/>
      <c r="F142" s="116"/>
      <c r="G142" s="116"/>
      <c r="T142" s="323"/>
      <c r="AE142" s="322"/>
      <c r="AP142" s="180"/>
      <c r="AQ142" s="180"/>
      <c r="AS142" s="323"/>
      <c r="AU142" s="322"/>
    </row>
    <row r="143" spans="1:47" ht="12.75" customHeight="1" x14ac:dyDescent="0.3">
      <c r="B143" s="125"/>
      <c r="D143" s="115"/>
      <c r="E143" s="115"/>
      <c r="F143" s="116"/>
      <c r="G143" s="116"/>
      <c r="P143" s="724"/>
      <c r="Q143" s="724"/>
      <c r="T143" s="323"/>
      <c r="AC143" s="739"/>
      <c r="AD143" s="739"/>
      <c r="AE143" s="322"/>
      <c r="AP143" s="765">
        <f>ROUND(SUM(P143:AE143),0)</f>
        <v>0</v>
      </c>
      <c r="AQ143" s="765"/>
      <c r="AS143" s="323"/>
      <c r="AU143" s="322"/>
    </row>
    <row r="144" spans="1:47" ht="12.75" customHeight="1" x14ac:dyDescent="0.3">
      <c r="B144" s="125"/>
      <c r="D144" s="115"/>
      <c r="E144" s="115"/>
      <c r="F144" s="116"/>
      <c r="G144" s="116"/>
      <c r="P144" s="724"/>
      <c r="Q144" s="724"/>
      <c r="T144" s="323"/>
      <c r="AC144" s="739"/>
      <c r="AD144" s="739"/>
      <c r="AE144" s="322"/>
      <c r="AP144" s="765">
        <f>ROUND(SUM(P144:AE144),0)</f>
        <v>0</v>
      </c>
      <c r="AQ144" s="765"/>
      <c r="AS144" s="323"/>
      <c r="AU144" s="322"/>
    </row>
    <row r="145" spans="1:47" ht="12.75" customHeight="1" x14ac:dyDescent="0.3">
      <c r="B145" s="125"/>
      <c r="D145" s="115"/>
      <c r="E145" s="115"/>
      <c r="F145" s="116"/>
      <c r="G145" s="116"/>
      <c r="P145" s="724"/>
      <c r="Q145" s="724"/>
      <c r="T145" s="323"/>
      <c r="AC145" s="739"/>
      <c r="AD145" s="739"/>
      <c r="AE145" s="322"/>
      <c r="AP145" s="765">
        <f>ROUND(SUM(P145:AE145),0)</f>
        <v>0</v>
      </c>
      <c r="AQ145" s="765"/>
      <c r="AS145" s="323"/>
      <c r="AU145" s="322"/>
    </row>
    <row r="146" spans="1:47" ht="12.75" customHeight="1" x14ac:dyDescent="0.3">
      <c r="B146" s="125"/>
      <c r="D146" s="115"/>
      <c r="E146" s="115"/>
      <c r="F146" s="116"/>
      <c r="G146" s="116"/>
      <c r="P146" s="724"/>
      <c r="Q146" s="724"/>
      <c r="T146" s="323"/>
      <c r="AC146" s="739"/>
      <c r="AD146" s="739"/>
      <c r="AE146" s="322"/>
      <c r="AP146" s="765">
        <f>ROUND(SUM(P146:AE146),0)</f>
        <v>0</v>
      </c>
      <c r="AQ146" s="765"/>
      <c r="AS146" s="323"/>
      <c r="AU146" s="322"/>
    </row>
    <row r="147" spans="1:47" ht="12.75" customHeight="1" x14ac:dyDescent="0.3">
      <c r="B147" s="125"/>
      <c r="D147" s="115"/>
      <c r="E147" s="115"/>
      <c r="F147" s="116"/>
      <c r="G147" s="116"/>
      <c r="P147" s="724"/>
      <c r="Q147" s="724"/>
      <c r="T147" s="323"/>
      <c r="AC147" s="739"/>
      <c r="AD147" s="739"/>
      <c r="AE147" s="322"/>
      <c r="AP147" s="765">
        <f>ROUND(SUM(P147:AE147),0)</f>
        <v>0</v>
      </c>
      <c r="AQ147" s="765"/>
      <c r="AS147" s="323"/>
      <c r="AU147" s="322"/>
    </row>
    <row r="148" spans="1:47" ht="4.5" customHeight="1" x14ac:dyDescent="0.3">
      <c r="B148" s="125"/>
      <c r="D148" s="132"/>
      <c r="E148" s="132"/>
      <c r="F148" s="133"/>
      <c r="G148" s="133"/>
      <c r="H148" s="134"/>
      <c r="I148" s="134"/>
      <c r="J148" s="134"/>
      <c r="K148" s="134"/>
      <c r="L148" s="134"/>
      <c r="M148" s="134"/>
      <c r="N148" s="134"/>
      <c r="O148" s="134"/>
      <c r="P148" s="736"/>
      <c r="Q148" s="736"/>
      <c r="R148" s="134"/>
      <c r="S148" s="134"/>
      <c r="T148" s="325"/>
      <c r="U148" s="134"/>
      <c r="V148" s="134"/>
      <c r="W148" s="134"/>
      <c r="X148" s="134"/>
      <c r="Y148" s="134"/>
      <c r="Z148" s="134"/>
      <c r="AA148" s="134"/>
      <c r="AB148" s="134"/>
      <c r="AC148" s="736"/>
      <c r="AD148" s="736"/>
      <c r="AE148" s="326"/>
      <c r="AF148" s="134"/>
      <c r="AG148" s="134"/>
      <c r="AH148" s="134"/>
      <c r="AI148" s="134"/>
      <c r="AJ148" s="134"/>
      <c r="AK148" s="134"/>
      <c r="AL148" s="134"/>
      <c r="AM148" s="134"/>
      <c r="AN148" s="134"/>
      <c r="AO148" s="134"/>
      <c r="AP148" s="763"/>
      <c r="AQ148" s="763"/>
      <c r="AS148" s="323"/>
      <c r="AU148" s="322"/>
    </row>
    <row r="149" spans="1:47" ht="12.75" customHeight="1" x14ac:dyDescent="0.3">
      <c r="B149" s="125"/>
      <c r="C149" s="109" t="str">
        <f>"Subtotal "&amp;C142</f>
        <v>Subtotal Other</v>
      </c>
      <c r="D149" s="115"/>
      <c r="E149" s="115"/>
      <c r="F149" s="116"/>
      <c r="G149" s="116"/>
      <c r="P149" s="734">
        <f>ROUND(SUM(P143:Q148),0)</f>
        <v>0</v>
      </c>
      <c r="Q149" s="734"/>
      <c r="T149" s="323"/>
      <c r="AC149" s="762">
        <f>ROUND(SUM(AC143:AD148),0)</f>
        <v>0</v>
      </c>
      <c r="AD149" s="762"/>
      <c r="AE149" s="322"/>
      <c r="AP149" s="762">
        <f>ROUND(SUM(AP143:AQ148),0)</f>
        <v>0</v>
      </c>
      <c r="AQ149" s="762"/>
      <c r="AS149" s="323"/>
      <c r="AU149" s="322"/>
    </row>
    <row r="150" spans="1:47" ht="3" customHeight="1" x14ac:dyDescent="0.3">
      <c r="B150" s="772"/>
      <c r="C150" s="772"/>
      <c r="D150" s="772"/>
      <c r="E150" s="772"/>
      <c r="F150" s="772"/>
      <c r="G150" s="772"/>
      <c r="H150" s="772"/>
      <c r="I150" s="772"/>
      <c r="J150" s="772"/>
      <c r="K150" s="772"/>
      <c r="L150" s="772"/>
      <c r="M150" s="134"/>
      <c r="N150" s="134"/>
      <c r="O150" s="134"/>
      <c r="P150" s="736"/>
      <c r="Q150" s="736"/>
      <c r="R150" s="134"/>
      <c r="S150" s="134"/>
      <c r="T150" s="325"/>
      <c r="U150" s="134"/>
      <c r="V150" s="134"/>
      <c r="W150" s="134"/>
      <c r="X150" s="134"/>
      <c r="Y150" s="134"/>
      <c r="Z150" s="134"/>
      <c r="AA150" s="134"/>
      <c r="AB150" s="134"/>
      <c r="AC150" s="736"/>
      <c r="AD150" s="736"/>
      <c r="AE150" s="326"/>
      <c r="AF150" s="134"/>
      <c r="AG150" s="134"/>
      <c r="AH150" s="134"/>
      <c r="AI150" s="134"/>
      <c r="AJ150" s="134"/>
      <c r="AK150" s="134"/>
      <c r="AL150" s="134"/>
      <c r="AM150" s="134"/>
      <c r="AN150" s="134"/>
      <c r="AO150" s="134"/>
      <c r="AP150" s="763"/>
      <c r="AQ150" s="763"/>
      <c r="AS150" s="323"/>
      <c r="AU150" s="322"/>
    </row>
    <row r="151" spans="1:47" x14ac:dyDescent="0.3">
      <c r="B151" s="158" t="str">
        <f>CONCATENATE("TOTAL ",B105)</f>
        <v>TOTAL PARTICIPANT/TRAINEE SUPPORT COSTS</v>
      </c>
      <c r="C151" s="159"/>
      <c r="D151" s="170"/>
      <c r="E151" s="170"/>
      <c r="F151" s="171"/>
      <c r="G151" s="171"/>
      <c r="H151" s="159"/>
      <c r="I151" s="159"/>
      <c r="J151" s="159"/>
      <c r="K151" s="159"/>
      <c r="L151" s="159"/>
      <c r="M151" s="159"/>
      <c r="N151" s="159"/>
      <c r="O151" s="159"/>
      <c r="P151" s="761">
        <f>ROUND(P113+P122+P131+P140+P149,0)</f>
        <v>0</v>
      </c>
      <c r="Q151" s="761"/>
      <c r="R151" s="159"/>
      <c r="S151" s="159"/>
      <c r="T151" s="327"/>
      <c r="U151" s="159"/>
      <c r="V151" s="159"/>
      <c r="W151" s="159"/>
      <c r="X151" s="159"/>
      <c r="Y151" s="159"/>
      <c r="Z151" s="159"/>
      <c r="AA151" s="159"/>
      <c r="AB151" s="159"/>
      <c r="AC151" s="761">
        <f>ROUND(AC113+AC122+AC131+AC140+AC149,0)</f>
        <v>0</v>
      </c>
      <c r="AD151" s="761"/>
      <c r="AE151" s="328"/>
      <c r="AF151" s="159"/>
      <c r="AG151" s="159"/>
      <c r="AH151" s="159"/>
      <c r="AI151" s="159"/>
      <c r="AJ151" s="159"/>
      <c r="AK151" s="159"/>
      <c r="AL151" s="159"/>
      <c r="AM151" s="159"/>
      <c r="AN151" s="159"/>
      <c r="AO151" s="159"/>
      <c r="AP151" s="298"/>
      <c r="AQ151" s="292">
        <f>ROUND(SUM(AP105:AQ150),0)</f>
        <v>0</v>
      </c>
      <c r="AS151" s="519">
        <f>P151</f>
        <v>0</v>
      </c>
      <c r="AU151" s="520">
        <f>AC151</f>
        <v>0</v>
      </c>
    </row>
    <row r="152" spans="1:47" ht="3" customHeight="1" x14ac:dyDescent="0.3">
      <c r="D152" s="115"/>
      <c r="E152" s="115"/>
      <c r="F152" s="116"/>
      <c r="G152" s="116"/>
      <c r="T152" s="323"/>
      <c r="AE152" s="322"/>
      <c r="AP152" s="180"/>
      <c r="AQ152" s="180"/>
      <c r="AS152" s="323"/>
      <c r="AU152" s="322"/>
    </row>
    <row r="153" spans="1:47" x14ac:dyDescent="0.3">
      <c r="A153" s="109" t="s">
        <v>674</v>
      </c>
      <c r="B153" s="109" t="s">
        <v>777</v>
      </c>
      <c r="C153" s="109"/>
      <c r="D153" s="115"/>
      <c r="E153" s="115"/>
      <c r="F153" s="116"/>
      <c r="G153" s="116"/>
      <c r="T153" s="323"/>
      <c r="AE153" s="322"/>
      <c r="AP153" s="180"/>
      <c r="AQ153" s="180"/>
      <c r="AS153" s="323"/>
      <c r="AU153" s="322"/>
    </row>
    <row r="154" spans="1:47" x14ac:dyDescent="0.3">
      <c r="A154" s="109"/>
      <c r="B154" s="131" t="s">
        <v>802</v>
      </c>
      <c r="C154" s="109" t="s">
        <v>720</v>
      </c>
      <c r="D154" s="115"/>
      <c r="E154" s="115"/>
      <c r="F154" s="116"/>
      <c r="G154" s="116"/>
      <c r="T154" s="323"/>
      <c r="AE154" s="322"/>
      <c r="AP154" s="180"/>
      <c r="AQ154" s="180"/>
      <c r="AS154" s="323"/>
      <c r="AU154" s="322"/>
    </row>
    <row r="155" spans="1:47" x14ac:dyDescent="0.3">
      <c r="B155" s="125"/>
      <c r="C155" s="278"/>
      <c r="D155" s="106">
        <f>'YEAR 2'!D155</f>
        <v>0</v>
      </c>
      <c r="E155" s="115"/>
      <c r="F155" s="116"/>
      <c r="G155" s="116"/>
      <c r="P155" s="724"/>
      <c r="Q155" s="724"/>
      <c r="T155" s="323"/>
      <c r="AC155" s="739"/>
      <c r="AD155" s="739"/>
      <c r="AE155" s="322"/>
      <c r="AP155" s="765">
        <f>ROUND(SUM(P155:AE155),0)</f>
        <v>0</v>
      </c>
      <c r="AQ155" s="765"/>
      <c r="AS155" s="323"/>
      <c r="AU155" s="322"/>
    </row>
    <row r="156" spans="1:47" x14ac:dyDescent="0.3">
      <c r="B156" s="125"/>
      <c r="C156" s="278"/>
      <c r="D156" s="106">
        <f>'YEAR 2'!D156</f>
        <v>0</v>
      </c>
      <c r="E156" s="115"/>
      <c r="F156" s="116"/>
      <c r="G156" s="116"/>
      <c r="P156" s="724"/>
      <c r="Q156" s="724"/>
      <c r="T156" s="323"/>
      <c r="AC156" s="739"/>
      <c r="AD156" s="739"/>
      <c r="AE156" s="322"/>
      <c r="AP156" s="765">
        <f>ROUND(SUM(P156:AE156),0)</f>
        <v>0</v>
      </c>
      <c r="AQ156" s="765"/>
      <c r="AS156" s="323"/>
      <c r="AU156" s="322"/>
    </row>
    <row r="157" spans="1:47" x14ac:dyDescent="0.3">
      <c r="B157" s="125"/>
      <c r="C157" s="113"/>
      <c r="D157" s="106">
        <f>'YEAR 2'!D157</f>
        <v>0</v>
      </c>
      <c r="E157" s="115"/>
      <c r="F157" s="116"/>
      <c r="G157" s="116"/>
      <c r="P157" s="724"/>
      <c r="Q157" s="724"/>
      <c r="T157" s="323"/>
      <c r="AC157" s="739"/>
      <c r="AD157" s="739"/>
      <c r="AE157" s="322"/>
      <c r="AP157" s="765">
        <f>ROUND(SUM(P157:AE157),0)</f>
        <v>0</v>
      </c>
      <c r="AQ157" s="765"/>
      <c r="AS157" s="323"/>
      <c r="AU157" s="322"/>
    </row>
    <row r="158" spans="1:47" ht="12.75" customHeight="1" x14ac:dyDescent="0.3">
      <c r="B158" s="125"/>
      <c r="D158" s="106">
        <f>'YEAR 2'!D158</f>
        <v>0</v>
      </c>
      <c r="E158" s="115"/>
      <c r="F158" s="116"/>
      <c r="G158" s="116"/>
      <c r="P158" s="724"/>
      <c r="Q158" s="724"/>
      <c r="T158" s="323"/>
      <c r="AC158" s="739"/>
      <c r="AD158" s="739"/>
      <c r="AE158" s="322"/>
      <c r="AP158" s="765">
        <f>ROUND(SUM(P158:AE158),0)</f>
        <v>0</v>
      </c>
      <c r="AQ158" s="765"/>
      <c r="AS158" s="323"/>
      <c r="AU158" s="322"/>
    </row>
    <row r="159" spans="1:47" ht="12.75" customHeight="1" x14ac:dyDescent="0.3">
      <c r="B159" s="125"/>
      <c r="D159" s="106">
        <f>'YEAR 2'!D159</f>
        <v>0</v>
      </c>
      <c r="E159" s="115"/>
      <c r="F159" s="116"/>
      <c r="G159" s="116"/>
      <c r="P159" s="724"/>
      <c r="Q159" s="724"/>
      <c r="T159" s="323"/>
      <c r="AC159" s="180"/>
      <c r="AE159" s="322"/>
      <c r="AP159" s="608"/>
      <c r="AQ159" s="608"/>
      <c r="AS159" s="323"/>
      <c r="AU159" s="322"/>
    </row>
    <row r="160" spans="1:47" ht="12.75" customHeight="1" x14ac:dyDescent="0.3">
      <c r="B160" s="125"/>
      <c r="D160" s="106">
        <f>'YEAR 2'!D160</f>
        <v>0</v>
      </c>
      <c r="E160" s="115"/>
      <c r="F160" s="116"/>
      <c r="G160" s="116"/>
      <c r="P160" s="724"/>
      <c r="Q160" s="724"/>
      <c r="T160" s="323"/>
      <c r="AC160" s="180"/>
      <c r="AE160" s="322"/>
      <c r="AP160" s="608"/>
      <c r="AQ160" s="608"/>
      <c r="AS160" s="323"/>
      <c r="AU160" s="322"/>
    </row>
    <row r="161" spans="1:47" ht="12.75" hidden="1" customHeight="1" x14ac:dyDescent="0.3">
      <c r="B161" s="125"/>
      <c r="D161" s="106">
        <f>'YEAR 2'!D161</f>
        <v>0</v>
      </c>
      <c r="E161" s="115"/>
      <c r="F161" s="116"/>
      <c r="G161" s="116"/>
      <c r="P161" s="724"/>
      <c r="Q161" s="724"/>
      <c r="T161" s="323"/>
      <c r="AC161" s="180"/>
      <c r="AE161" s="322"/>
      <c r="AP161" s="608"/>
      <c r="AQ161" s="608"/>
      <c r="AS161" s="323"/>
      <c r="AU161" s="322"/>
    </row>
    <row r="162" spans="1:47" ht="12.75" hidden="1" customHeight="1" x14ac:dyDescent="0.3">
      <c r="B162" s="125"/>
      <c r="D162" s="106">
        <f>'YEAR 2'!D162</f>
        <v>0</v>
      </c>
      <c r="E162" s="115"/>
      <c r="F162" s="116"/>
      <c r="G162" s="116"/>
      <c r="P162" s="724"/>
      <c r="Q162" s="724"/>
      <c r="T162" s="323"/>
      <c r="AC162" s="180"/>
      <c r="AE162" s="322"/>
      <c r="AP162" s="608"/>
      <c r="AQ162" s="608"/>
      <c r="AS162" s="323"/>
      <c r="AU162" s="322"/>
    </row>
    <row r="163" spans="1:47" ht="12.75" hidden="1" customHeight="1" x14ac:dyDescent="0.3">
      <c r="B163" s="125"/>
      <c r="D163" s="106">
        <f>'YEAR 2'!D163</f>
        <v>0</v>
      </c>
      <c r="E163" s="115"/>
      <c r="F163" s="116"/>
      <c r="G163" s="116"/>
      <c r="P163" s="724"/>
      <c r="Q163" s="724"/>
      <c r="T163" s="323"/>
      <c r="AC163" s="180"/>
      <c r="AE163" s="322"/>
      <c r="AP163" s="608"/>
      <c r="AQ163" s="608"/>
      <c r="AS163" s="323"/>
      <c r="AU163" s="322"/>
    </row>
    <row r="164" spans="1:47" ht="12.75" hidden="1" customHeight="1" x14ac:dyDescent="0.3">
      <c r="B164" s="125"/>
      <c r="D164" s="106">
        <f>'YEAR 2'!D164</f>
        <v>0</v>
      </c>
      <c r="E164" s="115"/>
      <c r="F164" s="116"/>
      <c r="G164" s="116"/>
      <c r="P164" s="724"/>
      <c r="Q164" s="724"/>
      <c r="T164" s="323"/>
      <c r="AC164" s="739"/>
      <c r="AD164" s="739"/>
      <c r="AE164" s="322"/>
      <c r="AP164" s="765">
        <f>ROUND(SUM(P164:AE164),0)</f>
        <v>0</v>
      </c>
      <c r="AQ164" s="765"/>
      <c r="AS164" s="323"/>
      <c r="AU164" s="322"/>
    </row>
    <row r="165" spans="1:47" ht="3" customHeight="1" x14ac:dyDescent="0.3">
      <c r="B165" s="125"/>
      <c r="D165" s="132"/>
      <c r="E165" s="132"/>
      <c r="F165" s="133"/>
      <c r="G165" s="133"/>
      <c r="H165" s="134"/>
      <c r="I165" s="134"/>
      <c r="J165" s="134"/>
      <c r="K165" s="134"/>
      <c r="L165" s="134"/>
      <c r="M165" s="134"/>
      <c r="N165" s="134"/>
      <c r="O165" s="134"/>
      <c r="P165" s="736"/>
      <c r="Q165" s="736"/>
      <c r="R165" s="134"/>
      <c r="S165" s="134"/>
      <c r="T165" s="325"/>
      <c r="U165" s="134"/>
      <c r="V165" s="134"/>
      <c r="W165" s="134"/>
      <c r="X165" s="134"/>
      <c r="Y165" s="134"/>
      <c r="Z165" s="134"/>
      <c r="AA165" s="134"/>
      <c r="AB165" s="134"/>
      <c r="AC165" s="736"/>
      <c r="AD165" s="736"/>
      <c r="AE165" s="326"/>
      <c r="AF165" s="134"/>
      <c r="AG165" s="134"/>
      <c r="AH165" s="134"/>
      <c r="AI165" s="134"/>
      <c r="AJ165" s="134"/>
      <c r="AK165" s="134"/>
      <c r="AL165" s="134"/>
      <c r="AM165" s="134"/>
      <c r="AN165" s="134"/>
      <c r="AO165" s="134"/>
      <c r="AP165" s="763"/>
      <c r="AQ165" s="763"/>
      <c r="AS165" s="323"/>
      <c r="AU165" s="322"/>
    </row>
    <row r="166" spans="1:47" x14ac:dyDescent="0.3">
      <c r="B166" s="125"/>
      <c r="C166" s="109" t="str">
        <f>"Subtotal "&amp;C154</f>
        <v>Subtotal Materials &amp; Supplies</v>
      </c>
      <c r="D166" s="115"/>
      <c r="E166" s="115"/>
      <c r="F166" s="116"/>
      <c r="G166" s="116"/>
      <c r="P166" s="724">
        <f>SUM(P155:Q164)</f>
        <v>0</v>
      </c>
      <c r="Q166" s="724"/>
      <c r="R166" s="604"/>
      <c r="T166" s="323"/>
      <c r="AC166" s="762">
        <f>ROUND(SUM(AC155:AD165),0)</f>
        <v>0</v>
      </c>
      <c r="AD166" s="762"/>
      <c r="AE166" s="322"/>
      <c r="AP166" s="180"/>
      <c r="AQ166" s="607">
        <f>ROUND(SUM(AP155:AQ165),0)</f>
        <v>0</v>
      </c>
      <c r="AS166" s="323"/>
      <c r="AU166" s="322"/>
    </row>
    <row r="167" spans="1:47" ht="3" customHeight="1" x14ac:dyDescent="0.3">
      <c r="B167" s="125"/>
      <c r="C167" s="109"/>
      <c r="D167" s="115"/>
      <c r="E167" s="115"/>
      <c r="F167" s="116"/>
      <c r="G167" s="116"/>
      <c r="P167" s="108"/>
      <c r="Q167" s="108"/>
      <c r="T167" s="323"/>
      <c r="AC167" s="113"/>
      <c r="AD167" s="278"/>
      <c r="AE167" s="322"/>
      <c r="AS167" s="323"/>
      <c r="AU167" s="322"/>
    </row>
    <row r="168" spans="1:47" ht="12.75" customHeight="1" x14ac:dyDescent="0.3">
      <c r="A168" s="109"/>
      <c r="B168" s="131" t="s">
        <v>811</v>
      </c>
      <c r="C168" s="109" t="s">
        <v>818</v>
      </c>
      <c r="D168" s="115"/>
      <c r="E168" s="115"/>
      <c r="F168" s="116"/>
      <c r="G168" s="116"/>
      <c r="T168" s="323"/>
      <c r="AE168" s="322"/>
      <c r="AP168" s="180"/>
      <c r="AQ168" s="180"/>
      <c r="AS168" s="323"/>
      <c r="AU168" s="322"/>
    </row>
    <row r="169" spans="1:47" x14ac:dyDescent="0.3">
      <c r="B169" s="125"/>
      <c r="D169" s="106" t="s">
        <v>819</v>
      </c>
      <c r="E169" s="115"/>
      <c r="F169" s="116"/>
      <c r="G169" s="116"/>
      <c r="P169" s="724"/>
      <c r="Q169" s="724"/>
      <c r="T169" s="323"/>
      <c r="AC169" s="739"/>
      <c r="AD169" s="739"/>
      <c r="AE169" s="322"/>
      <c r="AP169" s="765">
        <f>ROUND(SUM(P169:AE169),0)</f>
        <v>0</v>
      </c>
      <c r="AQ169" s="765"/>
      <c r="AS169" s="323"/>
      <c r="AU169" s="322"/>
    </row>
    <row r="170" spans="1:47" ht="12.75" customHeight="1" x14ac:dyDescent="0.3">
      <c r="B170" s="125"/>
      <c r="D170" s="106">
        <f>'YEAR 2'!D170</f>
        <v>0</v>
      </c>
      <c r="E170" s="115"/>
      <c r="F170" s="116"/>
      <c r="G170" s="116"/>
      <c r="P170" s="724"/>
      <c r="Q170" s="724"/>
      <c r="T170" s="323"/>
      <c r="AC170" s="739"/>
      <c r="AD170" s="739"/>
      <c r="AE170" s="322"/>
      <c r="AP170" s="765">
        <f>ROUND(SUM(P170:AE170),0)</f>
        <v>0</v>
      </c>
      <c r="AQ170" s="765"/>
      <c r="AS170" s="323"/>
      <c r="AU170" s="322"/>
    </row>
    <row r="171" spans="1:47" ht="12.75" customHeight="1" x14ac:dyDescent="0.3">
      <c r="B171" s="125"/>
      <c r="D171" s="106">
        <f>'YEAR 2'!D171</f>
        <v>0</v>
      </c>
      <c r="E171" s="115"/>
      <c r="F171" s="116"/>
      <c r="G171" s="116"/>
      <c r="P171" s="724"/>
      <c r="Q171" s="724"/>
      <c r="T171" s="323"/>
      <c r="AC171" s="739"/>
      <c r="AD171" s="739"/>
      <c r="AE171" s="322"/>
      <c r="AP171" s="765">
        <f>ROUND(SUM(P171:AE171),0)</f>
        <v>0</v>
      </c>
      <c r="AQ171" s="765"/>
      <c r="AS171" s="323"/>
      <c r="AU171" s="322"/>
    </row>
    <row r="172" spans="1:47" ht="12.75" customHeight="1" x14ac:dyDescent="0.3">
      <c r="B172" s="125"/>
      <c r="D172" s="106">
        <f>'YEAR 2'!D172</f>
        <v>0</v>
      </c>
      <c r="E172" s="115"/>
      <c r="F172" s="116"/>
      <c r="G172" s="116"/>
      <c r="P172" s="724"/>
      <c r="Q172" s="724"/>
      <c r="T172" s="323"/>
      <c r="AC172" s="739"/>
      <c r="AD172" s="739"/>
      <c r="AE172" s="322"/>
      <c r="AP172" s="765">
        <f>ROUND(SUM(P172:AE172),0)</f>
        <v>0</v>
      </c>
      <c r="AQ172" s="765"/>
      <c r="AS172" s="323"/>
      <c r="AU172" s="322"/>
    </row>
    <row r="173" spans="1:47" ht="12.75" customHeight="1" x14ac:dyDescent="0.3">
      <c r="B173" s="125"/>
      <c r="D173" s="106">
        <f>'YEAR 2'!D173</f>
        <v>0</v>
      </c>
      <c r="E173" s="115"/>
      <c r="F173" s="116"/>
      <c r="G173" s="116"/>
      <c r="P173" s="724"/>
      <c r="Q173" s="724"/>
      <c r="T173" s="323"/>
      <c r="AC173" s="739"/>
      <c r="AD173" s="739"/>
      <c r="AE173" s="322"/>
      <c r="AP173" s="765">
        <f>ROUND(SUM(P173:AE173),0)</f>
        <v>0</v>
      </c>
      <c r="AQ173" s="765"/>
      <c r="AS173" s="323"/>
      <c r="AU173" s="322"/>
    </row>
    <row r="174" spans="1:47" ht="3" customHeight="1" x14ac:dyDescent="0.3">
      <c r="B174" s="125"/>
      <c r="D174" s="132"/>
      <c r="E174" s="132"/>
      <c r="F174" s="133"/>
      <c r="G174" s="133"/>
      <c r="H174" s="134"/>
      <c r="I174" s="134"/>
      <c r="J174" s="134"/>
      <c r="K174" s="134"/>
      <c r="L174" s="134"/>
      <c r="M174" s="134"/>
      <c r="N174" s="134"/>
      <c r="O174" s="134"/>
      <c r="P174" s="736"/>
      <c r="Q174" s="736"/>
      <c r="R174" s="134"/>
      <c r="S174" s="134"/>
      <c r="T174" s="325"/>
      <c r="U174" s="134"/>
      <c r="V174" s="134"/>
      <c r="W174" s="134"/>
      <c r="X174" s="134"/>
      <c r="Y174" s="134"/>
      <c r="Z174" s="134"/>
      <c r="AA174" s="134"/>
      <c r="AB174" s="134"/>
      <c r="AC174" s="736"/>
      <c r="AD174" s="736"/>
      <c r="AE174" s="326"/>
      <c r="AF174" s="134"/>
      <c r="AG174" s="134"/>
      <c r="AH174" s="134"/>
      <c r="AI174" s="134"/>
      <c r="AJ174" s="134"/>
      <c r="AK174" s="134"/>
      <c r="AL174" s="134"/>
      <c r="AM174" s="134"/>
      <c r="AN174" s="134"/>
      <c r="AO174" s="134"/>
      <c r="AP174" s="763"/>
      <c r="AQ174" s="763"/>
      <c r="AS174" s="323"/>
      <c r="AU174" s="322"/>
    </row>
    <row r="175" spans="1:47" ht="12.75" customHeight="1" x14ac:dyDescent="0.3">
      <c r="B175" s="125"/>
      <c r="C175" s="109" t="str">
        <f>"Subtotal "&amp;C168</f>
        <v>Subtotal Publications</v>
      </c>
      <c r="D175" s="115"/>
      <c r="E175" s="115"/>
      <c r="F175" s="116"/>
      <c r="G175" s="116"/>
      <c r="P175" s="734">
        <f>ROUND(SUM(P169:Q174),0)</f>
        <v>0</v>
      </c>
      <c r="Q175" s="734"/>
      <c r="T175" s="323"/>
      <c r="AC175" s="762">
        <f>ROUND(SUM(AC169:AD174),0)</f>
        <v>0</v>
      </c>
      <c r="AD175" s="762"/>
      <c r="AE175" s="322"/>
      <c r="AP175" s="762">
        <f>ROUND(SUM(AP169:AQ174),0)</f>
        <v>0</v>
      </c>
      <c r="AQ175" s="762"/>
      <c r="AS175" s="323"/>
      <c r="AU175" s="322"/>
    </row>
    <row r="176" spans="1:47" ht="3" customHeight="1" x14ac:dyDescent="0.3">
      <c r="B176" s="125"/>
      <c r="C176" s="109"/>
      <c r="D176" s="115"/>
      <c r="E176" s="115"/>
      <c r="F176" s="116"/>
      <c r="G176" s="116"/>
      <c r="P176" s="108"/>
      <c r="Q176" s="108"/>
      <c r="T176" s="323"/>
      <c r="AC176" s="113"/>
      <c r="AD176" s="278"/>
      <c r="AE176" s="322"/>
      <c r="AS176" s="323"/>
      <c r="AU176" s="322"/>
    </row>
    <row r="177" spans="1:47" ht="12.75" customHeight="1" x14ac:dyDescent="0.3">
      <c r="A177" s="109"/>
      <c r="B177" s="131" t="s">
        <v>815</v>
      </c>
      <c r="C177" s="109" t="s">
        <v>820</v>
      </c>
      <c r="D177" s="115"/>
      <c r="E177" s="115"/>
      <c r="F177" s="116"/>
      <c r="G177" s="116"/>
      <c r="T177" s="323"/>
      <c r="AE177" s="322"/>
      <c r="AP177" s="180"/>
      <c r="AQ177" s="180"/>
      <c r="AS177" s="323"/>
      <c r="AU177" s="322"/>
    </row>
    <row r="178" spans="1:47" ht="12.75" customHeight="1" x14ac:dyDescent="0.3">
      <c r="B178" s="125"/>
      <c r="E178" s="115"/>
      <c r="F178" s="116"/>
      <c r="G178" s="116"/>
      <c r="P178" s="724"/>
      <c r="Q178" s="724"/>
      <c r="T178" s="323"/>
      <c r="AC178" s="739"/>
      <c r="AD178" s="739"/>
      <c r="AE178" s="322"/>
      <c r="AP178" s="765">
        <f>ROUND(SUM(P178:AE178),0)</f>
        <v>0</v>
      </c>
      <c r="AQ178" s="765"/>
      <c r="AS178" s="323"/>
      <c r="AU178" s="322"/>
    </row>
    <row r="179" spans="1:47" ht="12.75" customHeight="1" x14ac:dyDescent="0.3">
      <c r="B179" s="125"/>
      <c r="D179" s="106">
        <f>'YEAR 2'!D179</f>
        <v>0</v>
      </c>
      <c r="E179" s="115"/>
      <c r="F179" s="116"/>
      <c r="G179" s="116"/>
      <c r="P179" s="724"/>
      <c r="Q179" s="724"/>
      <c r="T179" s="323"/>
      <c r="AC179" s="739"/>
      <c r="AD179" s="739"/>
      <c r="AE179" s="322"/>
      <c r="AP179" s="765">
        <f>ROUND(SUM(P179:AE179),0)</f>
        <v>0</v>
      </c>
      <c r="AQ179" s="765"/>
      <c r="AS179" s="323"/>
      <c r="AU179" s="322"/>
    </row>
    <row r="180" spans="1:47" ht="12.75" customHeight="1" x14ac:dyDescent="0.3">
      <c r="B180" s="125"/>
      <c r="D180" s="106">
        <f>'YEAR 2'!D180</f>
        <v>0</v>
      </c>
      <c r="E180" s="115"/>
      <c r="F180" s="116"/>
      <c r="G180" s="116"/>
      <c r="P180" s="724"/>
      <c r="Q180" s="724"/>
      <c r="T180" s="323"/>
      <c r="AC180" s="739"/>
      <c r="AD180" s="739"/>
      <c r="AE180" s="322"/>
      <c r="AP180" s="765">
        <f>ROUND(SUM(P180:AE180),0)</f>
        <v>0</v>
      </c>
      <c r="AQ180" s="765"/>
      <c r="AS180" s="323"/>
      <c r="AU180" s="322"/>
    </row>
    <row r="181" spans="1:47" ht="12.75" customHeight="1" x14ac:dyDescent="0.3">
      <c r="B181" s="125"/>
      <c r="D181" s="106">
        <f>'YEAR 2'!D181</f>
        <v>0</v>
      </c>
      <c r="E181" s="115"/>
      <c r="F181" s="116"/>
      <c r="G181" s="116"/>
      <c r="P181" s="724"/>
      <c r="Q181" s="724"/>
      <c r="T181" s="323"/>
      <c r="AC181" s="739"/>
      <c r="AD181" s="739"/>
      <c r="AE181" s="322"/>
      <c r="AP181" s="765">
        <f>ROUND(SUM(P181:AE181),0)</f>
        <v>0</v>
      </c>
      <c r="AQ181" s="765"/>
      <c r="AS181" s="323"/>
      <c r="AU181" s="322"/>
    </row>
    <row r="182" spans="1:47" ht="12.75" customHeight="1" x14ac:dyDescent="0.3">
      <c r="B182" s="125"/>
      <c r="D182" s="106">
        <f>'YEAR 2'!D182</f>
        <v>0</v>
      </c>
      <c r="E182" s="115"/>
      <c r="F182" s="116"/>
      <c r="G182" s="116"/>
      <c r="P182" s="724"/>
      <c r="Q182" s="724"/>
      <c r="T182" s="323"/>
      <c r="AC182" s="739"/>
      <c r="AD182" s="739"/>
      <c r="AE182" s="322"/>
      <c r="AP182" s="765">
        <f>ROUND(SUM(P182:AE182),0)</f>
        <v>0</v>
      </c>
      <c r="AQ182" s="765"/>
      <c r="AS182" s="323"/>
      <c r="AU182" s="322"/>
    </row>
    <row r="183" spans="1:47" ht="3" customHeight="1" x14ac:dyDescent="0.3">
      <c r="B183" s="125"/>
      <c r="D183" s="132"/>
      <c r="E183" s="132"/>
      <c r="F183" s="133"/>
      <c r="G183" s="133"/>
      <c r="H183" s="134"/>
      <c r="I183" s="134"/>
      <c r="J183" s="134"/>
      <c r="K183" s="134"/>
      <c r="L183" s="134"/>
      <c r="M183" s="134"/>
      <c r="N183" s="134"/>
      <c r="O183" s="134"/>
      <c r="P183" s="736"/>
      <c r="Q183" s="736"/>
      <c r="R183" s="134"/>
      <c r="S183" s="134"/>
      <c r="T183" s="325"/>
      <c r="U183" s="134"/>
      <c r="V183" s="134"/>
      <c r="W183" s="134"/>
      <c r="X183" s="134"/>
      <c r="Y183" s="134"/>
      <c r="Z183" s="134"/>
      <c r="AA183" s="134"/>
      <c r="AB183" s="134"/>
      <c r="AC183" s="736"/>
      <c r="AD183" s="736"/>
      <c r="AE183" s="326"/>
      <c r="AF183" s="134"/>
      <c r="AG183" s="134"/>
      <c r="AH183" s="134"/>
      <c r="AI183" s="134"/>
      <c r="AJ183" s="134"/>
      <c r="AK183" s="134"/>
      <c r="AL183" s="134"/>
      <c r="AM183" s="134"/>
      <c r="AN183" s="134"/>
      <c r="AO183" s="134"/>
      <c r="AP183" s="763"/>
      <c r="AQ183" s="763"/>
      <c r="AS183" s="323"/>
      <c r="AU183" s="322"/>
    </row>
    <row r="184" spans="1:47" ht="12.75" customHeight="1" x14ac:dyDescent="0.3">
      <c r="B184" s="125"/>
      <c r="C184" s="109" t="str">
        <f>"Subtotal "&amp;C177</f>
        <v>Subtotal Consultant Services/Contractual</v>
      </c>
      <c r="D184" s="115"/>
      <c r="E184" s="115"/>
      <c r="F184" s="116"/>
      <c r="G184" s="116"/>
      <c r="P184" s="734">
        <f>ROUND(SUM(P178:Q183),0)</f>
        <v>0</v>
      </c>
      <c r="Q184" s="734"/>
      <c r="T184" s="323"/>
      <c r="AC184" s="762">
        <f>ROUND(SUM(AC178:AD183),0)</f>
        <v>0</v>
      </c>
      <c r="AD184" s="762"/>
      <c r="AE184" s="322"/>
      <c r="AP184" s="762">
        <f>ROUND(SUM(AP178:AQ183),0)</f>
        <v>0</v>
      </c>
      <c r="AQ184" s="762"/>
      <c r="AS184" s="323"/>
      <c r="AU184" s="322"/>
    </row>
    <row r="185" spans="1:47" ht="3" customHeight="1" x14ac:dyDescent="0.3">
      <c r="B185" s="125"/>
      <c r="C185" s="109"/>
      <c r="D185" s="115"/>
      <c r="E185" s="115"/>
      <c r="F185" s="116"/>
      <c r="G185" s="116"/>
      <c r="P185" s="108"/>
      <c r="Q185" s="108"/>
      <c r="T185" s="323"/>
      <c r="AC185" s="113"/>
      <c r="AD185" s="278"/>
      <c r="AE185" s="322"/>
      <c r="AS185" s="323"/>
      <c r="AU185" s="322"/>
    </row>
    <row r="186" spans="1:47" ht="12.75" customHeight="1" x14ac:dyDescent="0.3">
      <c r="A186" s="109"/>
      <c r="B186" s="131" t="s">
        <v>816</v>
      </c>
      <c r="C186" s="109" t="s">
        <v>821</v>
      </c>
      <c r="D186" s="115"/>
      <c r="E186" s="115"/>
      <c r="F186" s="116"/>
      <c r="G186" s="116"/>
      <c r="T186" s="323"/>
      <c r="AE186" s="322"/>
      <c r="AP186" s="180"/>
      <c r="AQ186" s="180"/>
      <c r="AS186" s="323"/>
      <c r="AU186" s="322"/>
    </row>
    <row r="187" spans="1:47" ht="12.75" customHeight="1" x14ac:dyDescent="0.3">
      <c r="B187" s="125"/>
      <c r="C187" s="279"/>
      <c r="D187" s="106">
        <f>'YEAR 1'!D187</f>
        <v>0</v>
      </c>
      <c r="E187" s="115"/>
      <c r="F187" s="116"/>
      <c r="G187" s="116"/>
      <c r="P187" s="724"/>
      <c r="Q187" s="724"/>
      <c r="T187" s="323"/>
      <c r="AC187" s="739"/>
      <c r="AD187" s="739"/>
      <c r="AE187" s="322"/>
      <c r="AP187" s="765">
        <f>ROUND(SUM(P187:AE187),0)</f>
        <v>0</v>
      </c>
      <c r="AQ187" s="765"/>
      <c r="AS187" s="323"/>
      <c r="AU187" s="322"/>
    </row>
    <row r="188" spans="1:47" ht="12.75" customHeight="1" x14ac:dyDescent="0.3">
      <c r="B188" s="125"/>
      <c r="C188" s="279"/>
      <c r="D188" s="106">
        <f>'YEAR 2'!D188</f>
        <v>0</v>
      </c>
      <c r="E188" s="115"/>
      <c r="F188" s="116"/>
      <c r="G188" s="116"/>
      <c r="P188" s="724"/>
      <c r="Q188" s="724"/>
      <c r="T188" s="323"/>
      <c r="AC188" s="739"/>
      <c r="AD188" s="739"/>
      <c r="AE188" s="322"/>
      <c r="AP188" s="765">
        <f>ROUND(SUM(P188:AE188),0)</f>
        <v>0</v>
      </c>
      <c r="AQ188" s="765"/>
      <c r="AS188" s="323"/>
      <c r="AU188" s="322"/>
    </row>
    <row r="189" spans="1:47" ht="12.75" customHeight="1" x14ac:dyDescent="0.3">
      <c r="B189" s="125"/>
      <c r="C189" s="279"/>
      <c r="D189" s="106">
        <f>'YEAR 2'!D189</f>
        <v>0</v>
      </c>
      <c r="E189" s="115"/>
      <c r="F189" s="116"/>
      <c r="G189" s="116"/>
      <c r="P189" s="724"/>
      <c r="Q189" s="724"/>
      <c r="T189" s="323"/>
      <c r="AC189" s="739"/>
      <c r="AD189" s="739"/>
      <c r="AE189" s="322"/>
      <c r="AP189" s="765">
        <f>ROUND(SUM(P189:AE189),0)</f>
        <v>0</v>
      </c>
      <c r="AQ189" s="765"/>
      <c r="AS189" s="323"/>
      <c r="AU189" s="322"/>
    </row>
    <row r="190" spans="1:47" ht="12.75" customHeight="1" x14ac:dyDescent="0.3">
      <c r="B190" s="125"/>
      <c r="D190" s="106">
        <f>'YEAR 2'!D190</f>
        <v>0</v>
      </c>
      <c r="E190" s="115"/>
      <c r="F190" s="116"/>
      <c r="G190" s="116"/>
      <c r="P190" s="724"/>
      <c r="Q190" s="724"/>
      <c r="T190" s="323"/>
      <c r="AC190" s="739"/>
      <c r="AD190" s="739"/>
      <c r="AE190" s="322"/>
      <c r="AP190" s="765">
        <f>ROUND(SUM(P190:AE190),0)</f>
        <v>0</v>
      </c>
      <c r="AQ190" s="765"/>
      <c r="AS190" s="323"/>
      <c r="AU190" s="322"/>
    </row>
    <row r="191" spans="1:47" ht="12.75" customHeight="1" x14ac:dyDescent="0.3">
      <c r="B191" s="125"/>
      <c r="D191" s="106">
        <f>'YEAR 2'!D191</f>
        <v>0</v>
      </c>
      <c r="E191" s="115"/>
      <c r="F191" s="116"/>
      <c r="G191" s="116"/>
      <c r="P191" s="724"/>
      <c r="Q191" s="724"/>
      <c r="T191" s="323"/>
      <c r="AC191" s="739"/>
      <c r="AD191" s="739"/>
      <c r="AE191" s="322"/>
      <c r="AP191" s="765">
        <f>ROUND(SUM(P191:AE191),0)</f>
        <v>0</v>
      </c>
      <c r="AQ191" s="765"/>
      <c r="AS191" s="323"/>
      <c r="AU191" s="322"/>
    </row>
    <row r="192" spans="1:47" ht="3" customHeight="1" x14ac:dyDescent="0.3">
      <c r="B192" s="125"/>
      <c r="D192" s="132"/>
      <c r="E192" s="132"/>
      <c r="F192" s="133"/>
      <c r="G192" s="133"/>
      <c r="H192" s="134"/>
      <c r="I192" s="134"/>
      <c r="J192" s="134"/>
      <c r="K192" s="134"/>
      <c r="L192" s="134"/>
      <c r="M192" s="134"/>
      <c r="N192" s="134"/>
      <c r="O192" s="134"/>
      <c r="P192" s="736"/>
      <c r="Q192" s="736"/>
      <c r="R192" s="134"/>
      <c r="S192" s="134"/>
      <c r="T192" s="325"/>
      <c r="U192" s="134"/>
      <c r="V192" s="134"/>
      <c r="W192" s="134"/>
      <c r="X192" s="134"/>
      <c r="Y192" s="134"/>
      <c r="Z192" s="134"/>
      <c r="AA192" s="134"/>
      <c r="AB192" s="134"/>
      <c r="AC192" s="736"/>
      <c r="AD192" s="736"/>
      <c r="AE192" s="326"/>
      <c r="AF192" s="134"/>
      <c r="AG192" s="134"/>
      <c r="AH192" s="134"/>
      <c r="AI192" s="134"/>
      <c r="AJ192" s="134"/>
      <c r="AK192" s="134"/>
      <c r="AL192" s="134"/>
      <c r="AM192" s="134"/>
      <c r="AN192" s="134"/>
      <c r="AO192" s="134"/>
      <c r="AP192" s="763"/>
      <c r="AQ192" s="763"/>
      <c r="AS192" s="323"/>
      <c r="AU192" s="322"/>
    </row>
    <row r="193" spans="1:47" ht="12.75" customHeight="1" x14ac:dyDescent="0.3">
      <c r="B193" s="125"/>
      <c r="C193" s="109" t="str">
        <f>"Subtotal "&amp;C186</f>
        <v>Subtotal Fee for Service/Contractual</v>
      </c>
      <c r="D193" s="115"/>
      <c r="E193" s="115"/>
      <c r="F193" s="116"/>
      <c r="G193" s="116"/>
      <c r="P193" s="734">
        <f>ROUND(SUM(P187:Q192),0)</f>
        <v>0</v>
      </c>
      <c r="Q193" s="734"/>
      <c r="T193" s="323"/>
      <c r="AC193" s="762">
        <f>ROUND(SUM(AC187:AD192),0)</f>
        <v>0</v>
      </c>
      <c r="AD193" s="762"/>
      <c r="AE193" s="322"/>
      <c r="AP193" s="762">
        <f>ROUND(SUM(AP187:AQ192),0)</f>
        <v>0</v>
      </c>
      <c r="AQ193" s="762"/>
      <c r="AS193" s="323"/>
      <c r="AU193" s="322"/>
    </row>
    <row r="194" spans="1:47" ht="3" customHeight="1" x14ac:dyDescent="0.3">
      <c r="B194" s="125"/>
      <c r="C194" s="109"/>
      <c r="D194" s="115"/>
      <c r="E194" s="115"/>
      <c r="F194" s="116"/>
      <c r="G194" s="116"/>
      <c r="P194" s="108"/>
      <c r="Q194" s="108"/>
      <c r="T194" s="323"/>
      <c r="AC194" s="113"/>
      <c r="AD194" s="278"/>
      <c r="AE194" s="322"/>
      <c r="AS194" s="323"/>
      <c r="AU194" s="322"/>
    </row>
    <row r="195" spans="1:47" ht="12.75" customHeight="1" x14ac:dyDescent="0.3">
      <c r="A195" s="109"/>
      <c r="B195" s="131" t="s">
        <v>817</v>
      </c>
      <c r="C195" s="109" t="s">
        <v>822</v>
      </c>
      <c r="D195" s="115"/>
      <c r="E195" s="115"/>
      <c r="F195" s="116"/>
      <c r="G195" s="116"/>
      <c r="T195" s="323"/>
      <c r="AE195" s="322"/>
      <c r="AP195" s="180"/>
      <c r="AQ195" s="180"/>
      <c r="AS195" s="323"/>
      <c r="AU195" s="322"/>
    </row>
    <row r="196" spans="1:47" ht="12.75" customHeight="1" x14ac:dyDescent="0.3">
      <c r="B196" s="125"/>
      <c r="D196" s="106">
        <f>'YEAR 2'!D196</f>
        <v>0</v>
      </c>
      <c r="E196" s="115"/>
      <c r="F196" s="116"/>
      <c r="G196" s="116"/>
      <c r="P196" s="724"/>
      <c r="Q196" s="724"/>
      <c r="T196" s="323"/>
      <c r="AC196" s="739"/>
      <c r="AD196" s="739"/>
      <c r="AE196" s="322"/>
      <c r="AP196" s="765">
        <f>ROUND(SUM(P196:AE196),0)</f>
        <v>0</v>
      </c>
      <c r="AQ196" s="765"/>
      <c r="AS196" s="506">
        <f>P196</f>
        <v>0</v>
      </c>
      <c r="AU196" s="520">
        <f>AC196</f>
        <v>0</v>
      </c>
    </row>
    <row r="197" spans="1:47" ht="12.75" customHeight="1" x14ac:dyDescent="0.3">
      <c r="B197" s="125"/>
      <c r="D197" s="106">
        <f>'YEAR 2'!D197</f>
        <v>0</v>
      </c>
      <c r="E197" s="115"/>
      <c r="F197" s="116"/>
      <c r="G197" s="116"/>
      <c r="P197" s="724"/>
      <c r="Q197" s="724"/>
      <c r="T197" s="323"/>
      <c r="AC197" s="739"/>
      <c r="AD197" s="739"/>
      <c r="AE197" s="322"/>
      <c r="AP197" s="765">
        <f>ROUND(SUM(P197:AE197),0)</f>
        <v>0</v>
      </c>
      <c r="AQ197" s="765"/>
      <c r="AS197" s="506">
        <f>P197</f>
        <v>0</v>
      </c>
      <c r="AU197" s="520">
        <f>AC197</f>
        <v>0</v>
      </c>
    </row>
    <row r="198" spans="1:47" ht="15" customHeight="1" x14ac:dyDescent="0.3">
      <c r="B198" s="125"/>
      <c r="D198" s="106">
        <f>'YEAR 2'!D198</f>
        <v>0</v>
      </c>
      <c r="E198" s="115"/>
      <c r="F198" s="116"/>
      <c r="G198" s="116"/>
      <c r="P198" s="724"/>
      <c r="Q198" s="724"/>
      <c r="T198" s="323"/>
      <c r="AC198" s="739"/>
      <c r="AD198" s="739"/>
      <c r="AE198" s="322"/>
      <c r="AP198" s="765">
        <f>ROUND(SUM(P198:AE198),0)</f>
        <v>0</v>
      </c>
      <c r="AQ198" s="765"/>
      <c r="AS198" s="506">
        <f>P198</f>
        <v>0</v>
      </c>
      <c r="AU198" s="520">
        <f>AC198</f>
        <v>0</v>
      </c>
    </row>
    <row r="199" spans="1:47" ht="12.75" customHeight="1" x14ac:dyDescent="0.3">
      <c r="B199" s="125"/>
      <c r="D199" s="106">
        <f>'YEAR 2'!D199</f>
        <v>0</v>
      </c>
      <c r="E199" s="115"/>
      <c r="F199" s="116"/>
      <c r="G199" s="116"/>
      <c r="P199" s="724"/>
      <c r="Q199" s="724"/>
      <c r="T199" s="323"/>
      <c r="AC199" s="739"/>
      <c r="AD199" s="739"/>
      <c r="AE199" s="322"/>
      <c r="AP199" s="765">
        <f>ROUND(SUM(P199:AE199),0)</f>
        <v>0</v>
      </c>
      <c r="AQ199" s="765"/>
      <c r="AS199" s="506">
        <f>P199</f>
        <v>0</v>
      </c>
      <c r="AU199" s="520">
        <f>AC199</f>
        <v>0</v>
      </c>
    </row>
    <row r="200" spans="1:47" ht="12.75" customHeight="1" x14ac:dyDescent="0.3">
      <c r="B200" s="125"/>
      <c r="D200" s="106">
        <f>'YEAR 2'!D200</f>
        <v>0</v>
      </c>
      <c r="E200" s="115"/>
      <c r="F200" s="116"/>
      <c r="G200" s="116"/>
      <c r="P200" s="724"/>
      <c r="Q200" s="724"/>
      <c r="T200" s="323"/>
      <c r="AC200" s="739"/>
      <c r="AD200" s="739"/>
      <c r="AE200" s="322"/>
      <c r="AP200" s="765">
        <f>ROUND(SUM(P200:AE200),0)</f>
        <v>0</v>
      </c>
      <c r="AQ200" s="765"/>
      <c r="AS200" s="506">
        <f>P200</f>
        <v>0</v>
      </c>
      <c r="AU200" s="520">
        <f>AC200</f>
        <v>0</v>
      </c>
    </row>
    <row r="201" spans="1:47" ht="3" customHeight="1" x14ac:dyDescent="0.3">
      <c r="B201" s="125"/>
      <c r="D201" s="132"/>
      <c r="E201" s="132"/>
      <c r="F201" s="133"/>
      <c r="G201" s="133"/>
      <c r="H201" s="134"/>
      <c r="I201" s="134"/>
      <c r="J201" s="134"/>
      <c r="K201" s="134"/>
      <c r="L201" s="134"/>
      <c r="M201" s="134"/>
      <c r="N201" s="134"/>
      <c r="O201" s="134"/>
      <c r="P201" s="736"/>
      <c r="Q201" s="736"/>
      <c r="R201" s="134"/>
      <c r="S201" s="134"/>
      <c r="T201" s="325"/>
      <c r="U201" s="134"/>
      <c r="V201" s="134"/>
      <c r="W201" s="134"/>
      <c r="X201" s="134"/>
      <c r="Y201" s="134"/>
      <c r="Z201" s="134"/>
      <c r="AA201" s="134"/>
      <c r="AB201" s="134"/>
      <c r="AC201" s="736"/>
      <c r="AD201" s="736"/>
      <c r="AE201" s="326"/>
      <c r="AF201" s="134"/>
      <c r="AG201" s="134"/>
      <c r="AH201" s="134"/>
      <c r="AI201" s="134"/>
      <c r="AJ201" s="134"/>
      <c r="AK201" s="134"/>
      <c r="AL201" s="134"/>
      <c r="AM201" s="134"/>
      <c r="AN201" s="134"/>
      <c r="AO201" s="134"/>
      <c r="AP201" s="763"/>
      <c r="AQ201" s="763"/>
      <c r="AS201" s="323"/>
      <c r="AU201" s="322"/>
    </row>
    <row r="202" spans="1:47" ht="12.75" customHeight="1" x14ac:dyDescent="0.3">
      <c r="B202" s="125"/>
      <c r="C202" s="109" t="str">
        <f>"Subtotal "&amp;C195</f>
        <v>Subtotal Subawards</v>
      </c>
      <c r="D202" s="115"/>
      <c r="E202" s="115"/>
      <c r="F202" s="116"/>
      <c r="G202" s="116"/>
      <c r="P202" s="734">
        <f>ROUND(SUM(P196:Q201),0)</f>
        <v>0</v>
      </c>
      <c r="Q202" s="734"/>
      <c r="T202" s="323"/>
      <c r="AC202" s="762">
        <f>ROUND(SUM(AC196:AD201),0)</f>
        <v>0</v>
      </c>
      <c r="AD202" s="762"/>
      <c r="AE202" s="322"/>
      <c r="AP202" s="762">
        <f>ROUND(SUM(AP196:AQ201),0)</f>
        <v>0</v>
      </c>
      <c r="AQ202" s="762"/>
      <c r="AS202" s="323"/>
      <c r="AU202" s="322"/>
    </row>
    <row r="203" spans="1:47" ht="1.5" customHeight="1" x14ac:dyDescent="0.3">
      <c r="B203" s="125"/>
      <c r="C203" s="109"/>
      <c r="D203" s="115"/>
      <c r="E203" s="115"/>
      <c r="F203" s="116"/>
      <c r="G203" s="116"/>
      <c r="P203" s="108"/>
      <c r="Q203" s="108"/>
      <c r="T203" s="323"/>
      <c r="AC203" s="113"/>
      <c r="AD203" s="278"/>
      <c r="AE203" s="322"/>
      <c r="AS203" s="323"/>
      <c r="AU203" s="322"/>
    </row>
    <row r="204" spans="1:47" x14ac:dyDescent="0.3">
      <c r="A204" s="109"/>
      <c r="B204" s="131" t="s">
        <v>823</v>
      </c>
      <c r="C204" s="109" t="s">
        <v>824</v>
      </c>
      <c r="D204" s="115"/>
      <c r="E204" s="115"/>
      <c r="F204" s="116"/>
      <c r="G204" s="116"/>
      <c r="T204" s="323"/>
      <c r="AE204" s="322"/>
      <c r="AP204" s="180"/>
      <c r="AQ204" s="180"/>
      <c r="AS204" s="323"/>
      <c r="AU204" s="322"/>
    </row>
    <row r="205" spans="1:47" x14ac:dyDescent="0.3">
      <c r="B205" s="125"/>
      <c r="C205" s="278"/>
      <c r="D205" s="106">
        <f>'YEAR 1'!D205</f>
        <v>0</v>
      </c>
      <c r="E205" s="115"/>
      <c r="F205" s="116"/>
      <c r="G205" s="116"/>
      <c r="P205" s="724"/>
      <c r="Q205" s="724"/>
      <c r="T205" s="323"/>
      <c r="AC205" s="739"/>
      <c r="AD205" s="739"/>
      <c r="AE205" s="322"/>
      <c r="AP205" s="765">
        <f>ROUND(SUM(P205:AE205),0)</f>
        <v>0</v>
      </c>
      <c r="AQ205" s="765"/>
      <c r="AS205" s="323"/>
      <c r="AU205" s="322"/>
    </row>
    <row r="206" spans="1:47" ht="12.75" customHeight="1" x14ac:dyDescent="0.3">
      <c r="B206" s="125"/>
      <c r="C206" s="278"/>
      <c r="D206" s="106">
        <f>'YEAR 1'!D206</f>
        <v>0</v>
      </c>
      <c r="E206" s="115"/>
      <c r="F206" s="116"/>
      <c r="G206" s="116"/>
      <c r="P206" s="724"/>
      <c r="Q206" s="724"/>
      <c r="T206" s="323"/>
      <c r="AC206" s="739"/>
      <c r="AD206" s="739"/>
      <c r="AE206" s="322"/>
      <c r="AP206" s="765">
        <f>ROUND(SUM(P206:AE206),0)</f>
        <v>0</v>
      </c>
      <c r="AQ206" s="765"/>
      <c r="AS206" s="323"/>
      <c r="AU206" s="322"/>
    </row>
    <row r="207" spans="1:47" ht="12.75" customHeight="1" x14ac:dyDescent="0.3">
      <c r="B207" s="125"/>
      <c r="C207" s="279"/>
      <c r="D207" s="106">
        <f>'YEAR 1'!D207</f>
        <v>0</v>
      </c>
      <c r="E207" s="115"/>
      <c r="F207" s="116"/>
      <c r="G207" s="116"/>
      <c r="P207" s="724"/>
      <c r="Q207" s="724"/>
      <c r="T207" s="323"/>
      <c r="AC207" s="739"/>
      <c r="AD207" s="739"/>
      <c r="AE207" s="322"/>
      <c r="AP207" s="765">
        <f>ROUND(SUM(P207:AE207),0)</f>
        <v>0</v>
      </c>
      <c r="AQ207" s="765"/>
      <c r="AS207" s="323"/>
      <c r="AU207" s="322"/>
    </row>
    <row r="208" spans="1:47" ht="12.75" customHeight="1" x14ac:dyDescent="0.3">
      <c r="B208" s="125"/>
      <c r="C208" s="279"/>
      <c r="D208" s="106">
        <f>'YEAR 1'!D208</f>
        <v>0</v>
      </c>
      <c r="E208" s="115"/>
      <c r="F208" s="116"/>
      <c r="G208" s="116"/>
      <c r="P208" s="724"/>
      <c r="Q208" s="724"/>
      <c r="T208" s="323"/>
      <c r="AC208" s="739"/>
      <c r="AD208" s="739"/>
      <c r="AE208" s="322"/>
      <c r="AP208" s="765">
        <f>ROUND(SUM(P208:AE208),0)</f>
        <v>0</v>
      </c>
      <c r="AQ208" s="765"/>
      <c r="AS208" s="323"/>
      <c r="AU208" s="322"/>
    </row>
    <row r="209" spans="1:47" ht="12.75" customHeight="1" x14ac:dyDescent="0.3">
      <c r="B209" s="125"/>
      <c r="D209" s="106">
        <f>'YEAR 2'!D209</f>
        <v>0</v>
      </c>
      <c r="E209" s="115"/>
      <c r="F209" s="116"/>
      <c r="G209" s="116"/>
      <c r="P209" s="724"/>
      <c r="Q209" s="724"/>
      <c r="T209" s="323"/>
      <c r="AC209" s="739"/>
      <c r="AD209" s="739"/>
      <c r="AE209" s="322"/>
      <c r="AP209" s="765">
        <f>ROUND(SUM(P209:AE209),0)</f>
        <v>0</v>
      </c>
      <c r="AQ209" s="765"/>
      <c r="AS209" s="323"/>
      <c r="AU209" s="322"/>
    </row>
    <row r="210" spans="1:47" ht="3" customHeight="1" x14ac:dyDescent="0.3">
      <c r="B210" s="125"/>
      <c r="D210" s="132"/>
      <c r="E210" s="132"/>
      <c r="F210" s="133"/>
      <c r="G210" s="133"/>
      <c r="H210" s="134"/>
      <c r="I210" s="134"/>
      <c r="J210" s="134"/>
      <c r="K210" s="134"/>
      <c r="L210" s="134"/>
      <c r="M210" s="134"/>
      <c r="N210" s="134"/>
      <c r="O210" s="134"/>
      <c r="P210" s="736"/>
      <c r="Q210" s="736"/>
      <c r="R210" s="134"/>
      <c r="S210" s="134"/>
      <c r="T210" s="325"/>
      <c r="U210" s="134"/>
      <c r="V210" s="134"/>
      <c r="W210" s="134"/>
      <c r="X210" s="134"/>
      <c r="Y210" s="134"/>
      <c r="Z210" s="134"/>
      <c r="AA210" s="134"/>
      <c r="AB210" s="134"/>
      <c r="AC210" s="736"/>
      <c r="AD210" s="736"/>
      <c r="AE210" s="326"/>
      <c r="AF210" s="134"/>
      <c r="AG210" s="134"/>
      <c r="AH210" s="134"/>
      <c r="AI210" s="134"/>
      <c r="AJ210" s="134"/>
      <c r="AK210" s="134"/>
      <c r="AL210" s="134"/>
      <c r="AM210" s="134"/>
      <c r="AN210" s="134"/>
      <c r="AO210" s="134"/>
      <c r="AP210" s="763"/>
      <c r="AQ210" s="763"/>
      <c r="AS210" s="323"/>
      <c r="AU210" s="322"/>
    </row>
    <row r="211" spans="1:47" x14ac:dyDescent="0.3">
      <c r="B211" s="125"/>
      <c r="C211" s="109" t="str">
        <f>"Subtotal "&amp;C204</f>
        <v>Subtotal Equipment/Facility Rental Fees</v>
      </c>
      <c r="D211" s="115"/>
      <c r="E211" s="115"/>
      <c r="F211" s="116"/>
      <c r="G211" s="116"/>
      <c r="P211" s="762">
        <f>ROUND(SUM(P205:Q210),0)</f>
        <v>0</v>
      </c>
      <c r="Q211" s="762"/>
      <c r="T211" s="323"/>
      <c r="AC211" s="762">
        <f>ROUND(SUM(AC205:AD210),0)</f>
        <v>0</v>
      </c>
      <c r="AD211" s="762"/>
      <c r="AE211" s="322"/>
      <c r="AP211" s="180"/>
      <c r="AQ211" s="607">
        <f>ROUND(SUM(AP205:AQ210),0)</f>
        <v>0</v>
      </c>
      <c r="AS211" s="323"/>
      <c r="AU211" s="322"/>
    </row>
    <row r="212" spans="1:47" ht="3" customHeight="1" x14ac:dyDescent="0.3">
      <c r="B212" s="125"/>
      <c r="C212" s="109"/>
      <c r="D212" s="115"/>
      <c r="E212" s="115"/>
      <c r="F212" s="116"/>
      <c r="G212" s="116"/>
      <c r="P212" s="108"/>
      <c r="Q212" s="108"/>
      <c r="T212" s="323"/>
      <c r="AC212" s="113"/>
      <c r="AD212" s="278"/>
      <c r="AE212" s="322"/>
      <c r="AS212" s="323"/>
      <c r="AU212" s="322"/>
    </row>
    <row r="213" spans="1:47" ht="12.75" customHeight="1" x14ac:dyDescent="0.3">
      <c r="A213" s="109"/>
      <c r="B213" s="131" t="s">
        <v>825</v>
      </c>
      <c r="C213" s="109" t="s">
        <v>826</v>
      </c>
      <c r="D213" s="115"/>
      <c r="E213" s="115"/>
      <c r="F213" s="116"/>
      <c r="G213" s="116"/>
      <c r="T213" s="323"/>
      <c r="AE213" s="322"/>
      <c r="AP213" s="180"/>
      <c r="AQ213" s="180"/>
      <c r="AS213" s="323"/>
      <c r="AU213" s="322"/>
    </row>
    <row r="214" spans="1:47" ht="12.75" customHeight="1" x14ac:dyDescent="0.3">
      <c r="B214" s="125"/>
      <c r="D214" s="106">
        <f>'YEAR 2'!D214</f>
        <v>0</v>
      </c>
      <c r="E214" s="115"/>
      <c r="F214" s="116"/>
      <c r="G214" s="116"/>
      <c r="P214" s="724"/>
      <c r="Q214" s="724"/>
      <c r="T214" s="323"/>
      <c r="AC214" s="739"/>
      <c r="AD214" s="739"/>
      <c r="AE214" s="322"/>
      <c r="AP214" s="765">
        <f>ROUND(SUM(P214:AE214),0)</f>
        <v>0</v>
      </c>
      <c r="AQ214" s="765"/>
      <c r="AS214" s="323"/>
      <c r="AU214" s="322"/>
    </row>
    <row r="215" spans="1:47" ht="12.75" customHeight="1" x14ac:dyDescent="0.3">
      <c r="B215" s="125"/>
      <c r="D215" s="106">
        <f>'YEAR 2'!D215</f>
        <v>0</v>
      </c>
      <c r="E215" s="115"/>
      <c r="F215" s="116"/>
      <c r="G215" s="116"/>
      <c r="P215" s="724"/>
      <c r="Q215" s="724"/>
      <c r="T215" s="323"/>
      <c r="AC215" s="739"/>
      <c r="AD215" s="739"/>
      <c r="AE215" s="322"/>
      <c r="AP215" s="765">
        <f>ROUND(SUM(P215:AE215),0)</f>
        <v>0</v>
      </c>
      <c r="AQ215" s="765"/>
      <c r="AS215" s="323"/>
      <c r="AU215" s="322"/>
    </row>
    <row r="216" spans="1:47" ht="12.75" customHeight="1" x14ac:dyDescent="0.3">
      <c r="B216" s="125"/>
      <c r="D216" s="106">
        <f>'YEAR 2'!D216</f>
        <v>0</v>
      </c>
      <c r="E216" s="115"/>
      <c r="F216" s="116"/>
      <c r="G216" s="116"/>
      <c r="P216" s="724"/>
      <c r="Q216" s="724"/>
      <c r="T216" s="323"/>
      <c r="AC216" s="739"/>
      <c r="AD216" s="739"/>
      <c r="AE216" s="322"/>
      <c r="AP216" s="765">
        <f>ROUND(SUM(P216:AE216),0)</f>
        <v>0</v>
      </c>
      <c r="AQ216" s="765"/>
      <c r="AS216" s="323"/>
      <c r="AU216" s="322"/>
    </row>
    <row r="217" spans="1:47" ht="12.75" customHeight="1" x14ac:dyDescent="0.3">
      <c r="B217" s="125"/>
      <c r="D217" s="106">
        <f>'YEAR 2'!D217</f>
        <v>0</v>
      </c>
      <c r="E217" s="115"/>
      <c r="F217" s="116"/>
      <c r="G217" s="116"/>
      <c r="P217" s="724"/>
      <c r="Q217" s="724"/>
      <c r="T217" s="323"/>
      <c r="AC217" s="739"/>
      <c r="AD217" s="739"/>
      <c r="AE217" s="322"/>
      <c r="AP217" s="765">
        <f>ROUND(SUM(P217:AE217),0)</f>
        <v>0</v>
      </c>
      <c r="AQ217" s="765"/>
      <c r="AS217" s="323"/>
      <c r="AU217" s="322"/>
    </row>
    <row r="218" spans="1:47" ht="12.75" customHeight="1" x14ac:dyDescent="0.3">
      <c r="B218" s="125"/>
      <c r="D218" s="106">
        <f>'YEAR 2'!D218</f>
        <v>0</v>
      </c>
      <c r="E218" s="115"/>
      <c r="F218" s="116"/>
      <c r="G218" s="116"/>
      <c r="P218" s="724"/>
      <c r="Q218" s="724"/>
      <c r="T218" s="323"/>
      <c r="AC218" s="739"/>
      <c r="AD218" s="739"/>
      <c r="AE218" s="322"/>
      <c r="AP218" s="765">
        <f>ROUND(SUM(P218:AE218),0)</f>
        <v>0</v>
      </c>
      <c r="AQ218" s="765"/>
      <c r="AS218" s="323"/>
      <c r="AU218" s="322"/>
    </row>
    <row r="219" spans="1:47" ht="3" customHeight="1" x14ac:dyDescent="0.3">
      <c r="B219" s="125"/>
      <c r="D219" s="132"/>
      <c r="E219" s="132"/>
      <c r="F219" s="133"/>
      <c r="G219" s="133"/>
      <c r="H219" s="134"/>
      <c r="I219" s="134"/>
      <c r="J219" s="134"/>
      <c r="K219" s="134"/>
      <c r="L219" s="134"/>
      <c r="M219" s="134"/>
      <c r="N219" s="134"/>
      <c r="O219" s="134"/>
      <c r="P219" s="736"/>
      <c r="Q219" s="736"/>
      <c r="R219" s="134"/>
      <c r="S219" s="134"/>
      <c r="T219" s="325"/>
      <c r="U219" s="134"/>
      <c r="V219" s="134"/>
      <c r="W219" s="134"/>
      <c r="X219" s="134"/>
      <c r="Y219" s="134"/>
      <c r="Z219" s="134"/>
      <c r="AA219" s="134"/>
      <c r="AB219" s="134"/>
      <c r="AC219" s="736"/>
      <c r="AD219" s="736"/>
      <c r="AE219" s="326"/>
      <c r="AF219" s="134"/>
      <c r="AG219" s="134"/>
      <c r="AH219" s="134"/>
      <c r="AI219" s="134"/>
      <c r="AJ219" s="134"/>
      <c r="AK219" s="134"/>
      <c r="AL219" s="134"/>
      <c r="AM219" s="134"/>
      <c r="AN219" s="134"/>
      <c r="AO219" s="134"/>
      <c r="AP219" s="763"/>
      <c r="AQ219" s="763"/>
      <c r="AS219" s="323"/>
      <c r="AU219" s="322"/>
    </row>
    <row r="220" spans="1:47" ht="12.75" customHeight="1" x14ac:dyDescent="0.3">
      <c r="B220" s="125"/>
      <c r="C220" s="109" t="str">
        <f>"Subtotal "&amp;C213</f>
        <v>Subtotal Alterations/Renovations</v>
      </c>
      <c r="D220" s="115"/>
      <c r="E220" s="115"/>
      <c r="F220" s="116"/>
      <c r="G220" s="116"/>
      <c r="P220" s="734">
        <f>ROUND(SUM(P214:Q219),0)</f>
        <v>0</v>
      </c>
      <c r="Q220" s="734"/>
      <c r="T220" s="323"/>
      <c r="AC220" s="762">
        <f>ROUND(SUM(AC214:AD219),0)</f>
        <v>0</v>
      </c>
      <c r="AD220" s="762"/>
      <c r="AE220" s="322"/>
      <c r="AP220" s="762">
        <f>ROUND(SUM(AP214:AQ219),0)</f>
        <v>0</v>
      </c>
      <c r="AQ220" s="762"/>
      <c r="AS220" s="323"/>
      <c r="AU220" s="322"/>
    </row>
    <row r="221" spans="1:47" ht="3" customHeight="1" x14ac:dyDescent="0.3">
      <c r="B221" s="125"/>
      <c r="C221" s="109"/>
      <c r="D221" s="115"/>
      <c r="E221" s="115"/>
      <c r="F221" s="116"/>
      <c r="G221" s="116"/>
      <c r="P221" s="108"/>
      <c r="Q221" s="108"/>
      <c r="T221" s="323"/>
      <c r="AC221" s="113"/>
      <c r="AD221" s="278"/>
      <c r="AE221" s="322"/>
      <c r="AS221" s="323"/>
      <c r="AU221" s="322"/>
    </row>
    <row r="222" spans="1:47" x14ac:dyDescent="0.3">
      <c r="A222" s="109"/>
      <c r="B222" s="131" t="s">
        <v>827</v>
      </c>
      <c r="C222" s="109" t="s">
        <v>679</v>
      </c>
      <c r="D222" s="115"/>
      <c r="E222" s="115"/>
      <c r="F222" s="116"/>
      <c r="G222" s="116"/>
      <c r="T222" s="323"/>
      <c r="AE222" s="322"/>
      <c r="AP222" s="180"/>
      <c r="AQ222" s="180"/>
      <c r="AS222" s="323"/>
      <c r="AU222" s="322"/>
    </row>
    <row r="223" spans="1:47" x14ac:dyDescent="0.3">
      <c r="C223" s="279" t="s">
        <v>828</v>
      </c>
      <c r="D223" s="109" t="s">
        <v>829</v>
      </c>
      <c r="E223" s="115"/>
      <c r="F223" s="116"/>
      <c r="G223" s="116"/>
      <c r="P223" s="724"/>
      <c r="Q223" s="724"/>
      <c r="T223" s="323"/>
      <c r="AC223" s="739"/>
      <c r="AD223" s="739"/>
      <c r="AE223" s="322"/>
      <c r="AP223" s="782"/>
      <c r="AQ223" s="782"/>
      <c r="AS223" s="323"/>
      <c r="AU223" s="322"/>
    </row>
    <row r="224" spans="1:47" x14ac:dyDescent="0.3">
      <c r="B224" s="125"/>
      <c r="C224" s="430"/>
      <c r="D224" s="116" t="s">
        <v>830</v>
      </c>
      <c r="E224" s="115"/>
      <c r="F224" s="116"/>
      <c r="G224" s="116"/>
      <c r="P224" s="724"/>
      <c r="Q224" s="724"/>
      <c r="T224" s="323"/>
      <c r="AC224" s="739"/>
      <c r="AD224" s="739"/>
      <c r="AE224" s="322"/>
      <c r="AP224" s="765"/>
      <c r="AQ224" s="765"/>
      <c r="AS224" s="519"/>
      <c r="AU224" s="520"/>
    </row>
    <row r="225" spans="1:47" x14ac:dyDescent="0.3">
      <c r="B225" s="125"/>
      <c r="D225" s="116" t="str">
        <f>Data!AG300</f>
        <v>Fall 2023 ~ ACAD YR 2024</v>
      </c>
      <c r="E225" s="115"/>
      <c r="F225" s="180">
        <f>Data!AA300</f>
        <v>4545</v>
      </c>
      <c r="G225" s="116"/>
      <c r="P225" s="724">
        <f>ROUND(($C$224*$F225),0)</f>
        <v>0</v>
      </c>
      <c r="Q225" s="724"/>
      <c r="T225" s="323"/>
      <c r="AC225" s="739"/>
      <c r="AD225" s="739"/>
      <c r="AE225" s="322"/>
      <c r="AP225" s="765">
        <f>ROUND(SUM(AC225+P225),0)</f>
        <v>0</v>
      </c>
      <c r="AQ225" s="765"/>
      <c r="AS225" s="519">
        <f>P225</f>
        <v>0</v>
      </c>
      <c r="AU225" s="520">
        <f>AC225</f>
        <v>0</v>
      </c>
    </row>
    <row r="226" spans="1:47" x14ac:dyDescent="0.3">
      <c r="B226" s="125"/>
      <c r="C226" s="156"/>
      <c r="D226" s="116" t="str">
        <f>Data!AG301</f>
        <v>Spring 2024 ~ ACAD YR 2024</v>
      </c>
      <c r="E226" s="115"/>
      <c r="F226" s="180">
        <f>Data!AA301</f>
        <v>4545</v>
      </c>
      <c r="G226" s="116"/>
      <c r="P226" s="724">
        <f>ROUND(($C$224*$F226),0)</f>
        <v>0</v>
      </c>
      <c r="Q226" s="724"/>
      <c r="T226" s="323"/>
      <c r="AC226" s="739"/>
      <c r="AD226" s="739"/>
      <c r="AE226" s="322"/>
      <c r="AP226" s="765">
        <f>ROUND(SUM(AC226+P226),0)</f>
        <v>0</v>
      </c>
      <c r="AQ226" s="765"/>
      <c r="AS226" s="519">
        <f>P226</f>
        <v>0</v>
      </c>
      <c r="AU226" s="520">
        <f>AC226</f>
        <v>0</v>
      </c>
    </row>
    <row r="227" spans="1:47" x14ac:dyDescent="0.3">
      <c r="B227" s="125"/>
      <c r="C227" s="156"/>
      <c r="D227" s="116" t="str">
        <f>Data!AG302</f>
        <v>Summer 2024 ~ ACAD YR 2025</v>
      </c>
      <c r="E227" s="115"/>
      <c r="F227" s="180">
        <f>Data!AA302</f>
        <v>1041</v>
      </c>
      <c r="G227" s="116"/>
      <c r="P227" s="724">
        <f>ROUND(($C$224*$F227),0)</f>
        <v>0</v>
      </c>
      <c r="Q227" s="724"/>
      <c r="T227" s="323"/>
      <c r="AC227" s="739"/>
      <c r="AD227" s="739"/>
      <c r="AE227" s="322"/>
      <c r="AP227" s="765">
        <f>ROUND(SUM(AC227+P227),0)</f>
        <v>0</v>
      </c>
      <c r="AQ227" s="765"/>
      <c r="AS227" s="519">
        <f>P227</f>
        <v>0</v>
      </c>
      <c r="AU227" s="520">
        <f>AC227</f>
        <v>0</v>
      </c>
    </row>
    <row r="228" spans="1:47" ht="3" customHeight="1" x14ac:dyDescent="0.3">
      <c r="B228" s="125"/>
      <c r="C228" s="113"/>
      <c r="D228" s="116"/>
      <c r="E228" s="115"/>
      <c r="F228" s="116"/>
      <c r="G228" s="116"/>
      <c r="P228" s="724"/>
      <c r="Q228" s="724"/>
      <c r="T228" s="323"/>
      <c r="AC228" s="739"/>
      <c r="AD228" s="739"/>
      <c r="AE228" s="322"/>
      <c r="AP228" s="765"/>
      <c r="AQ228" s="765"/>
      <c r="AS228" s="519"/>
      <c r="AU228" s="520"/>
    </row>
    <row r="229" spans="1:47" ht="12.75" customHeight="1" x14ac:dyDescent="0.3">
      <c r="C229" s="279" t="s">
        <v>831</v>
      </c>
      <c r="D229" s="109" t="s">
        <v>832</v>
      </c>
      <c r="E229" s="115"/>
      <c r="F229" s="116"/>
      <c r="G229" s="116"/>
      <c r="P229" s="724">
        <f t="shared" ref="P229" si="4">ROUND(($C$224*$F229),0)</f>
        <v>0</v>
      </c>
      <c r="Q229" s="724"/>
      <c r="T229" s="323"/>
      <c r="AC229" s="739"/>
      <c r="AD229" s="739"/>
      <c r="AE229" s="322"/>
      <c r="AP229" s="765">
        <f>ROUND(SUM(P229:AE229),0)</f>
        <v>0</v>
      </c>
      <c r="AQ229" s="765"/>
      <c r="AS229" s="519"/>
      <c r="AU229" s="520">
        <f t="shared" ref="AU229" si="5">AC229</f>
        <v>0</v>
      </c>
    </row>
    <row r="230" spans="1:47" ht="3" customHeight="1" x14ac:dyDescent="0.3">
      <c r="B230" s="125"/>
      <c r="D230" s="132"/>
      <c r="E230" s="132"/>
      <c r="F230" s="133"/>
      <c r="G230" s="133"/>
      <c r="H230" s="134"/>
      <c r="I230" s="134"/>
      <c r="J230" s="134"/>
      <c r="K230" s="134"/>
      <c r="L230" s="134"/>
      <c r="M230" s="134"/>
      <c r="N230" s="134"/>
      <c r="O230" s="134"/>
      <c r="P230" s="736"/>
      <c r="Q230" s="736"/>
      <c r="R230" s="134"/>
      <c r="S230" s="134"/>
      <c r="T230" s="325"/>
      <c r="U230" s="134"/>
      <c r="V230" s="134"/>
      <c r="W230" s="134"/>
      <c r="X230" s="134"/>
      <c r="Y230" s="134"/>
      <c r="Z230" s="134"/>
      <c r="AA230" s="134"/>
      <c r="AB230" s="134"/>
      <c r="AC230" s="736"/>
      <c r="AD230" s="736"/>
      <c r="AE230" s="326"/>
      <c r="AF230" s="134"/>
      <c r="AG230" s="134"/>
      <c r="AH230" s="134"/>
      <c r="AI230" s="134"/>
      <c r="AJ230" s="134"/>
      <c r="AK230" s="134"/>
      <c r="AL230" s="134"/>
      <c r="AM230" s="134"/>
      <c r="AN230" s="134"/>
      <c r="AO230" s="134"/>
      <c r="AP230" s="763"/>
      <c r="AQ230" s="763"/>
      <c r="AS230" s="323"/>
      <c r="AU230" s="322"/>
    </row>
    <row r="231" spans="1:47" x14ac:dyDescent="0.3">
      <c r="B231" s="125"/>
      <c r="C231" s="109" t="str">
        <f>"Subtotal "&amp;C222</f>
        <v>Subtotal Other</v>
      </c>
      <c r="D231" s="115"/>
      <c r="E231" s="115"/>
      <c r="F231" s="116"/>
      <c r="G231" s="116"/>
      <c r="P231" s="762">
        <f>ROUND(SUM(P223:Q230),0)</f>
        <v>0</v>
      </c>
      <c r="Q231" s="762"/>
      <c r="T231" s="323"/>
      <c r="AC231" s="762">
        <f>ROUND(SUM(AC223:AD230),0)</f>
        <v>0</v>
      </c>
      <c r="AD231" s="762"/>
      <c r="AE231" s="322"/>
      <c r="AP231" s="762">
        <f>ROUND(SUM(AP223:AQ230),0)</f>
        <v>0</v>
      </c>
      <c r="AQ231" s="762"/>
      <c r="AS231" s="323"/>
      <c r="AU231" s="322"/>
    </row>
    <row r="232" spans="1:47" ht="3" customHeight="1" x14ac:dyDescent="0.3">
      <c r="B232" s="135"/>
      <c r="C232" s="136"/>
      <c r="D232" s="132"/>
      <c r="E232" s="132"/>
      <c r="F232" s="133"/>
      <c r="G232" s="133"/>
      <c r="H232" s="134"/>
      <c r="I232" s="134"/>
      <c r="J232" s="134"/>
      <c r="K232" s="134"/>
      <c r="L232" s="134"/>
      <c r="M232" s="134"/>
      <c r="N232" s="134"/>
      <c r="O232" s="134"/>
      <c r="P232" s="313"/>
      <c r="Q232" s="313"/>
      <c r="R232" s="134"/>
      <c r="S232" s="134"/>
      <c r="T232" s="325"/>
      <c r="U232" s="134"/>
      <c r="V232" s="134"/>
      <c r="W232" s="134"/>
      <c r="X232" s="134"/>
      <c r="Y232" s="134"/>
      <c r="Z232" s="134"/>
      <c r="AA232" s="134"/>
      <c r="AB232" s="134"/>
      <c r="AC232" s="137"/>
      <c r="AD232" s="300"/>
      <c r="AE232" s="326"/>
      <c r="AF232" s="134"/>
      <c r="AG232" s="134"/>
      <c r="AH232" s="134"/>
      <c r="AI232" s="134"/>
      <c r="AJ232" s="134"/>
      <c r="AK232" s="134"/>
      <c r="AL232" s="134"/>
      <c r="AM232" s="134"/>
      <c r="AN232" s="134"/>
      <c r="AO232" s="134"/>
      <c r="AP232" s="300"/>
      <c r="AQ232" s="300"/>
      <c r="AS232" s="323"/>
      <c r="AU232" s="322"/>
    </row>
    <row r="233" spans="1:47" x14ac:dyDescent="0.3">
      <c r="B233" s="160" t="str">
        <f>"TOTAL "&amp;B153</f>
        <v>TOTAL OTHER DIRECT COSTS</v>
      </c>
      <c r="C233" s="158"/>
      <c r="D233" s="170"/>
      <c r="E233" s="170"/>
      <c r="F233" s="171"/>
      <c r="G233" s="171"/>
      <c r="H233" s="159"/>
      <c r="I233" s="159"/>
      <c r="J233" s="159"/>
      <c r="K233" s="159"/>
      <c r="L233" s="159"/>
      <c r="M233" s="159"/>
      <c r="N233" s="159"/>
      <c r="O233" s="159"/>
      <c r="P233" s="761">
        <f>ROUND(P166+P175+P184+P193+P202+P211+P220+P231,0)</f>
        <v>0</v>
      </c>
      <c r="Q233" s="761"/>
      <c r="R233" s="159"/>
      <c r="S233" s="159"/>
      <c r="T233" s="327"/>
      <c r="U233" s="159"/>
      <c r="V233" s="159"/>
      <c r="W233" s="159"/>
      <c r="X233" s="159"/>
      <c r="Y233" s="159"/>
      <c r="Z233" s="159"/>
      <c r="AA233" s="159"/>
      <c r="AB233" s="159"/>
      <c r="AC233" s="761">
        <f>ROUND(AC166+AC175+AC184+AC193+AC202+AC211+AC220+AC231,0)</f>
        <v>0</v>
      </c>
      <c r="AD233" s="761"/>
      <c r="AE233" s="328"/>
      <c r="AF233" s="159"/>
      <c r="AG233" s="159"/>
      <c r="AH233" s="159"/>
      <c r="AI233" s="159"/>
      <c r="AJ233" s="159"/>
      <c r="AK233" s="159"/>
      <c r="AL233" s="159"/>
      <c r="AM233" s="159"/>
      <c r="AN233" s="159"/>
      <c r="AO233" s="159"/>
      <c r="AP233" s="775">
        <f>ROUND(SUM(P233:AE233),0)</f>
        <v>0</v>
      </c>
      <c r="AQ233" s="775"/>
      <c r="AS233" s="323">
        <f>SUM(AS11:AS232)</f>
        <v>0</v>
      </c>
      <c r="AU233" s="322">
        <f>SUM(AU11:AU232)</f>
        <v>0</v>
      </c>
    </row>
    <row r="234" spans="1:47" ht="3" customHeight="1" x14ac:dyDescent="0.3">
      <c r="B234" s="125"/>
      <c r="C234" s="109"/>
      <c r="D234" s="115"/>
      <c r="E234" s="115"/>
      <c r="F234" s="116"/>
      <c r="G234" s="116"/>
      <c r="P234" s="108"/>
      <c r="Q234" s="108"/>
      <c r="T234" s="323"/>
      <c r="AC234" s="113"/>
      <c r="AD234" s="278"/>
      <c r="AE234" s="322"/>
      <c r="AS234" s="325"/>
      <c r="AT234" s="134"/>
      <c r="AU234" s="326"/>
    </row>
    <row r="235" spans="1:47" x14ac:dyDescent="0.3">
      <c r="A235" s="109" t="s">
        <v>676</v>
      </c>
      <c r="B235" s="160" t="s">
        <v>833</v>
      </c>
      <c r="C235" s="158"/>
      <c r="D235" s="170"/>
      <c r="E235" s="170"/>
      <c r="F235" s="171"/>
      <c r="G235" s="171"/>
      <c r="H235" s="159"/>
      <c r="I235" s="159"/>
      <c r="J235" s="159"/>
      <c r="K235" s="159"/>
      <c r="L235" s="159"/>
      <c r="M235" s="159"/>
      <c r="N235" s="159"/>
      <c r="O235" s="159"/>
      <c r="P235" s="726">
        <f>ROUND(P43+P67+P76+P103+P151+P233,0)</f>
        <v>0</v>
      </c>
      <c r="Q235" s="726"/>
      <c r="R235" s="159"/>
      <c r="S235" s="159"/>
      <c r="T235" s="327"/>
      <c r="U235" s="159"/>
      <c r="V235" s="159"/>
      <c r="W235" s="159"/>
      <c r="X235" s="159"/>
      <c r="Y235" s="159"/>
      <c r="Z235" s="159"/>
      <c r="AA235" s="159"/>
      <c r="AB235" s="159"/>
      <c r="AC235" s="726">
        <f>ROUND(AD43+AD67+AD76+AC103+AC151+AC233,0)</f>
        <v>0</v>
      </c>
      <c r="AD235" s="726"/>
      <c r="AE235" s="328"/>
      <c r="AF235" s="159"/>
      <c r="AG235" s="159"/>
      <c r="AH235" s="159"/>
      <c r="AI235" s="159"/>
      <c r="AJ235" s="159"/>
      <c r="AK235" s="159"/>
      <c r="AL235" s="159"/>
      <c r="AM235" s="159"/>
      <c r="AN235" s="159"/>
      <c r="AO235" s="159"/>
      <c r="AP235" s="726">
        <f>ROUND(AQ43+AQ67+AQ76+AQ103+AQ151+AP233,0)</f>
        <v>0</v>
      </c>
      <c r="AQ235" s="726"/>
      <c r="AS235" s="107"/>
      <c r="AU235" s="107"/>
    </row>
    <row r="236" spans="1:47" ht="3" customHeight="1" x14ac:dyDescent="0.3">
      <c r="B236" s="125"/>
      <c r="C236" s="109"/>
      <c r="D236" s="115"/>
      <c r="E236" s="115"/>
      <c r="F236" s="116"/>
      <c r="G236" s="116"/>
      <c r="P236" s="108"/>
      <c r="Q236" s="108"/>
      <c r="T236" s="323"/>
      <c r="AC236" s="113"/>
      <c r="AD236" s="278"/>
      <c r="AE236" s="322"/>
    </row>
    <row r="237" spans="1:47" x14ac:dyDescent="0.3">
      <c r="A237" s="109" t="s">
        <v>678</v>
      </c>
      <c r="B237" s="109" t="s">
        <v>779</v>
      </c>
      <c r="T237" s="323"/>
      <c r="AE237" s="322"/>
    </row>
    <row r="238" spans="1:47" ht="3" customHeight="1" x14ac:dyDescent="0.3">
      <c r="T238" s="323"/>
      <c r="AE238" s="322"/>
    </row>
    <row r="239" spans="1:47" x14ac:dyDescent="0.3">
      <c r="B239" s="106" t="s">
        <v>834</v>
      </c>
      <c r="C239" s="138"/>
      <c r="T239" s="323"/>
      <c r="AE239" s="322"/>
    </row>
    <row r="240" spans="1:47" x14ac:dyDescent="0.3">
      <c r="B240" s="138"/>
      <c r="C240" s="138" t="s">
        <v>685</v>
      </c>
      <c r="P240" s="731">
        <f>P235</f>
        <v>0</v>
      </c>
      <c r="Q240" s="731"/>
      <c r="T240" s="323"/>
      <c r="AC240" s="731">
        <f>AC235</f>
        <v>0</v>
      </c>
      <c r="AD240" s="731"/>
      <c r="AE240" s="322"/>
      <c r="AP240" s="728">
        <f>ROUND(SUM(P240:AD240),0)</f>
        <v>0</v>
      </c>
      <c r="AQ240" s="728"/>
    </row>
    <row r="241" spans="1:43" ht="14.4" x14ac:dyDescent="0.3">
      <c r="B241" s="138"/>
      <c r="C241" s="138" t="s">
        <v>686</v>
      </c>
      <c r="D241" s="139"/>
      <c r="E241" s="139"/>
      <c r="F241" s="140"/>
      <c r="G241" s="140"/>
      <c r="P241" s="731">
        <f>-AS233</f>
        <v>0</v>
      </c>
      <c r="Q241" s="731"/>
      <c r="T241" s="323"/>
      <c r="AC241" s="731">
        <f>-AU233</f>
        <v>0</v>
      </c>
      <c r="AD241" s="731"/>
      <c r="AE241" s="322"/>
      <c r="AP241" s="728">
        <f>ROUND(SUM(P241:AD241),0)</f>
        <v>0</v>
      </c>
      <c r="AQ241" s="728"/>
    </row>
    <row r="242" spans="1:43" ht="3" customHeight="1" x14ac:dyDescent="0.3">
      <c r="B242" s="138"/>
      <c r="C242" s="138"/>
      <c r="D242" s="139"/>
      <c r="E242" s="139"/>
      <c r="F242" s="140"/>
      <c r="G242" s="140"/>
      <c r="P242" s="141"/>
      <c r="Q242" s="141"/>
      <c r="T242" s="323"/>
      <c r="AC242" s="141"/>
      <c r="AD242" s="141"/>
      <c r="AE242" s="322"/>
      <c r="AP242" s="313"/>
      <c r="AQ242" s="313"/>
    </row>
    <row r="243" spans="1:43" ht="14.4" x14ac:dyDescent="0.3">
      <c r="B243" s="138" t="s">
        <v>687</v>
      </c>
      <c r="C243" s="138"/>
      <c r="D243" s="139"/>
      <c r="E243" s="139"/>
      <c r="F243" s="140"/>
      <c r="G243" s="140"/>
      <c r="P243" s="777">
        <f>SUM(P240:Q242)</f>
        <v>0</v>
      </c>
      <c r="Q243" s="777"/>
      <c r="T243" s="323"/>
      <c r="AC243" s="777">
        <f>SUM(AC240:AD242)</f>
        <v>0</v>
      </c>
      <c r="AD243" s="777"/>
      <c r="AE243" s="322"/>
      <c r="AP243" s="734">
        <f>ROUND(SUM(P243:AD243),0)</f>
        <v>0</v>
      </c>
      <c r="AQ243" s="734"/>
    </row>
    <row r="244" spans="1:43" ht="3" customHeight="1" x14ac:dyDescent="0.3">
      <c r="B244" s="138"/>
      <c r="C244" s="138"/>
      <c r="D244" s="139"/>
      <c r="E244" s="139"/>
      <c r="F244" s="140"/>
      <c r="G244" s="140"/>
      <c r="T244" s="323"/>
      <c r="AE244" s="322"/>
    </row>
    <row r="245" spans="1:43" ht="14.4" x14ac:dyDescent="0.3">
      <c r="B245" s="142"/>
      <c r="C245" s="138" t="str">
        <f>CONCATENATE("SDSM&amp;T  Indirect  @ ",TEXT(INDIRECT,"0.0%"))</f>
        <v>SDSM&amp;T  Indirect  @ 42.0%</v>
      </c>
      <c r="D245" s="139"/>
      <c r="E245" s="139"/>
      <c r="F245" s="140"/>
      <c r="G245" s="140"/>
      <c r="P245" s="724">
        <f>ROUND(P243*INDIRECT,0)</f>
        <v>0</v>
      </c>
      <c r="Q245" s="724"/>
      <c r="T245" s="323"/>
      <c r="AC245" s="739">
        <f>ROUND(AC243*INDIRECT,0)</f>
        <v>0</v>
      </c>
      <c r="AD245" s="739"/>
      <c r="AE245" s="322"/>
      <c r="AP245" s="765">
        <f>ROUND(SUM(P245:AE245),0)</f>
        <v>0</v>
      </c>
      <c r="AQ245" s="765"/>
    </row>
    <row r="246" spans="1:43" ht="3" customHeight="1" x14ac:dyDescent="0.3">
      <c r="B246" s="138"/>
      <c r="C246" s="138"/>
      <c r="D246" s="139"/>
      <c r="E246" s="139"/>
      <c r="F246" s="140"/>
      <c r="G246" s="140"/>
      <c r="T246" s="323"/>
      <c r="AE246" s="322"/>
    </row>
    <row r="247" spans="1:43" x14ac:dyDescent="0.3">
      <c r="B247" s="142"/>
      <c r="D247" s="138" t="str">
        <f>"SDSM&amp;T Unrecovered Indirect @ "&amp;TEXT(-COSTSHARERATE,"0.0%")</f>
        <v>SDSM&amp;T Unrecovered Indirect @ 0.0%</v>
      </c>
      <c r="E247" s="138"/>
      <c r="F247" s="143"/>
      <c r="G247" s="143"/>
      <c r="P247" s="724">
        <f>-(P245-P249)</f>
        <v>0</v>
      </c>
      <c r="Q247" s="724"/>
      <c r="T247" s="323"/>
      <c r="AC247" s="739">
        <f>-P247</f>
        <v>0</v>
      </c>
      <c r="AD247" s="739"/>
      <c r="AE247" s="322"/>
      <c r="AP247" s="765">
        <f>ROUND(SUM(P247:AE247),0)</f>
        <v>0</v>
      </c>
      <c r="AQ247" s="765"/>
    </row>
    <row r="248" spans="1:43" ht="3" customHeight="1" x14ac:dyDescent="0.3">
      <c r="B248" s="138"/>
      <c r="C248" s="138"/>
      <c r="D248" s="139"/>
      <c r="E248" s="139"/>
      <c r="F248" s="140"/>
      <c r="G248" s="140"/>
      <c r="T248" s="323"/>
      <c r="AE248" s="322"/>
    </row>
    <row r="249" spans="1:43" ht="14.4" x14ac:dyDescent="0.3">
      <c r="B249" s="142"/>
      <c r="C249" s="138" t="str">
        <f>"SDSM&amp;T Indirect Recovered @ "&amp;TEXT(RECOVERED,"0.0%")</f>
        <v>SDSM&amp;T Indirect Recovered @ 42.0%</v>
      </c>
      <c r="D249" s="139"/>
      <c r="E249" s="139"/>
      <c r="F249" s="140"/>
      <c r="G249" s="140"/>
      <c r="P249" s="724">
        <f>ROUND(P243*RECOVERED,0)</f>
        <v>0</v>
      </c>
      <c r="Q249" s="724"/>
      <c r="T249" s="323"/>
      <c r="AC249" s="739"/>
      <c r="AD249" s="739"/>
      <c r="AE249" s="322"/>
      <c r="AP249" s="765">
        <f>ROUND(SUM(P249:AE249),0)</f>
        <v>0</v>
      </c>
      <c r="AQ249" s="765"/>
    </row>
    <row r="250" spans="1:43" ht="3" customHeight="1" x14ac:dyDescent="0.3">
      <c r="B250" s="134"/>
      <c r="C250" s="134"/>
      <c r="D250" s="144"/>
      <c r="E250" s="144"/>
      <c r="F250" s="145"/>
      <c r="G250" s="145"/>
      <c r="H250" s="134"/>
      <c r="I250" s="134"/>
      <c r="J250" s="134"/>
      <c r="K250" s="134"/>
      <c r="L250" s="134"/>
      <c r="M250" s="134"/>
      <c r="N250" s="134"/>
      <c r="O250" s="134"/>
      <c r="P250" s="141"/>
      <c r="Q250" s="141"/>
      <c r="R250" s="134"/>
      <c r="S250" s="134"/>
      <c r="T250" s="325"/>
      <c r="U250" s="134"/>
      <c r="V250" s="134"/>
      <c r="W250" s="134"/>
      <c r="X250" s="134"/>
      <c r="Y250" s="134"/>
      <c r="Z250" s="134"/>
      <c r="AA250" s="134"/>
      <c r="AB250" s="134"/>
      <c r="AC250" s="141"/>
      <c r="AD250" s="296"/>
      <c r="AE250" s="326"/>
      <c r="AF250" s="134"/>
      <c r="AG250" s="134"/>
      <c r="AH250" s="134"/>
      <c r="AI250" s="134"/>
      <c r="AJ250" s="134"/>
      <c r="AK250" s="134"/>
      <c r="AL250" s="134"/>
      <c r="AM250" s="134"/>
      <c r="AN250" s="134"/>
      <c r="AO250" s="134"/>
      <c r="AP250" s="300"/>
      <c r="AQ250" s="300"/>
    </row>
    <row r="251" spans="1:43" ht="14.4" x14ac:dyDescent="0.3">
      <c r="B251" s="158" t="str">
        <f>CONCATENATE("TOTAL ALL ",B237)</f>
        <v>TOTAL ALL INDIRECT COSTS</v>
      </c>
      <c r="C251" s="159"/>
      <c r="D251" s="172"/>
      <c r="E251" s="172"/>
      <c r="F251" s="173"/>
      <c r="G251" s="173"/>
      <c r="H251" s="159"/>
      <c r="I251" s="159"/>
      <c r="J251" s="159"/>
      <c r="K251" s="159"/>
      <c r="L251" s="159"/>
      <c r="M251" s="159"/>
      <c r="N251" s="159"/>
      <c r="O251" s="159"/>
      <c r="P251" s="732">
        <f>P249</f>
        <v>0</v>
      </c>
      <c r="Q251" s="732"/>
      <c r="R251" s="159"/>
      <c r="S251" s="159"/>
      <c r="T251" s="327"/>
      <c r="U251" s="159"/>
      <c r="V251" s="159"/>
      <c r="W251" s="159"/>
      <c r="X251" s="159"/>
      <c r="Y251" s="159"/>
      <c r="Z251" s="159"/>
      <c r="AA251" s="159"/>
      <c r="AB251" s="159"/>
      <c r="AC251" s="761">
        <f>SUM(AC245:AD249)</f>
        <v>0</v>
      </c>
      <c r="AD251" s="761"/>
      <c r="AE251" s="328"/>
      <c r="AF251" s="159"/>
      <c r="AG251" s="159"/>
      <c r="AH251" s="159"/>
      <c r="AI251" s="159"/>
      <c r="AJ251" s="159"/>
      <c r="AK251" s="159"/>
      <c r="AL251" s="159"/>
      <c r="AM251" s="159"/>
      <c r="AN251" s="159"/>
      <c r="AO251" s="159"/>
      <c r="AP251" s="775">
        <f>ROUND(SUM(P251:AE251),0)</f>
        <v>0</v>
      </c>
      <c r="AQ251" s="775"/>
    </row>
    <row r="252" spans="1:43" ht="3" customHeight="1" x14ac:dyDescent="0.3">
      <c r="D252" s="139"/>
      <c r="E252" s="139"/>
      <c r="F252" s="140"/>
      <c r="G252" s="140"/>
      <c r="T252" s="323"/>
      <c r="AE252" s="322"/>
    </row>
    <row r="253" spans="1:43" ht="14.4" x14ac:dyDescent="0.3">
      <c r="A253" s="109" t="s">
        <v>680</v>
      </c>
      <c r="B253" s="174" t="s">
        <v>835</v>
      </c>
      <c r="C253" s="159"/>
      <c r="D253" s="172"/>
      <c r="E253" s="172"/>
      <c r="F253" s="173"/>
      <c r="G253" s="173"/>
      <c r="H253" s="159"/>
      <c r="I253" s="159"/>
      <c r="J253" s="159"/>
      <c r="K253" s="159"/>
      <c r="L253" s="159"/>
      <c r="M253" s="159"/>
      <c r="N253" s="159"/>
      <c r="O253" s="159"/>
      <c r="P253" s="727">
        <f>ROUND(P251+P235,0)</f>
        <v>0</v>
      </c>
      <c r="Q253" s="727"/>
      <c r="R253" s="159"/>
      <c r="S253" s="159"/>
      <c r="T253" s="327"/>
      <c r="U253" s="159"/>
      <c r="V253" s="159"/>
      <c r="W253" s="159"/>
      <c r="X253" s="159"/>
      <c r="Y253" s="159"/>
      <c r="Z253" s="159"/>
      <c r="AA253" s="159"/>
      <c r="AB253" s="159"/>
      <c r="AC253" s="726">
        <f>ROUND(AC251+AC235,0)</f>
        <v>0</v>
      </c>
      <c r="AD253" s="726"/>
      <c r="AE253" s="328"/>
      <c r="AF253" s="159"/>
      <c r="AG253" s="159"/>
      <c r="AH253" s="159"/>
      <c r="AI253" s="159"/>
      <c r="AJ253" s="159"/>
      <c r="AK253" s="159"/>
      <c r="AL253" s="159"/>
      <c r="AM253" s="159"/>
      <c r="AN253" s="159"/>
      <c r="AO253" s="159"/>
      <c r="AP253" s="776">
        <f>ROUND(SUM(P253:AE253),0)</f>
        <v>0</v>
      </c>
      <c r="AQ253" s="776"/>
    </row>
    <row r="254" spans="1:43" ht="3" customHeight="1" x14ac:dyDescent="0.3">
      <c r="D254" s="139"/>
      <c r="E254" s="139"/>
      <c r="F254" s="140"/>
      <c r="G254" s="140"/>
      <c r="T254" s="323"/>
      <c r="AE254" s="322"/>
    </row>
    <row r="255" spans="1:43" x14ac:dyDescent="0.3">
      <c r="B255" s="125" t="s">
        <v>690</v>
      </c>
      <c r="C255" s="106" t="s">
        <v>691</v>
      </c>
      <c r="T255" s="323"/>
      <c r="AE255" s="322"/>
    </row>
    <row r="256" spans="1:43" ht="3" customHeight="1" x14ac:dyDescent="0.3">
      <c r="T256" s="323"/>
      <c r="AE256" s="322"/>
    </row>
    <row r="257" spans="1:43" x14ac:dyDescent="0.3">
      <c r="A257" s="109" t="s">
        <v>682</v>
      </c>
      <c r="B257" s="158" t="s">
        <v>838</v>
      </c>
      <c r="C257" s="158"/>
      <c r="D257" s="158"/>
      <c r="E257" s="158"/>
      <c r="F257" s="309"/>
      <c r="G257" s="309"/>
      <c r="H257" s="158"/>
      <c r="I257" s="158"/>
      <c r="J257" s="158"/>
      <c r="K257" s="158"/>
      <c r="L257" s="158"/>
      <c r="M257" s="158"/>
      <c r="N257" s="158"/>
      <c r="O257" s="159"/>
      <c r="P257" s="726">
        <f>ROUND(P253*Data!$E$36,0)</f>
        <v>0</v>
      </c>
      <c r="Q257" s="726"/>
      <c r="R257" s="158"/>
      <c r="S257" s="158"/>
      <c r="T257" s="439"/>
      <c r="U257" s="158"/>
      <c r="V257" s="158"/>
      <c r="W257" s="158"/>
      <c r="X257" s="158"/>
      <c r="Y257" s="158"/>
      <c r="Z257" s="158"/>
      <c r="AA257" s="158"/>
      <c r="AB257" s="159"/>
      <c r="AC257" s="726">
        <f>ROUND(AC253*Data!$E$36,0)</f>
        <v>0</v>
      </c>
      <c r="AD257" s="726"/>
      <c r="AE257" s="440"/>
      <c r="AF257" s="309"/>
      <c r="AG257" s="158"/>
      <c r="AH257" s="158"/>
      <c r="AI257" s="158"/>
      <c r="AJ257" s="158"/>
      <c r="AK257" s="158"/>
      <c r="AL257" s="158"/>
      <c r="AM257" s="158"/>
      <c r="AN257" s="158"/>
      <c r="AO257" s="159"/>
      <c r="AP257" s="726">
        <f>ROUND(AP253*Data!$E$36,0)</f>
        <v>0</v>
      </c>
      <c r="AQ257" s="726"/>
    </row>
    <row r="258" spans="1:43" ht="3" customHeight="1" x14ac:dyDescent="0.3">
      <c r="T258" s="323"/>
      <c r="AE258" s="322"/>
    </row>
    <row r="259" spans="1:43" x14ac:dyDescent="0.3">
      <c r="A259" s="109" t="s">
        <v>688</v>
      </c>
      <c r="B259" s="158" t="s">
        <v>837</v>
      </c>
      <c r="C259" s="158"/>
      <c r="D259" s="158"/>
      <c r="E259" s="158"/>
      <c r="F259" s="309"/>
      <c r="G259" s="309"/>
      <c r="H259" s="158"/>
      <c r="I259" s="158"/>
      <c r="J259" s="158"/>
      <c r="K259" s="158"/>
      <c r="L259" s="158"/>
      <c r="M259" s="158"/>
      <c r="N259" s="158"/>
      <c r="O259" s="158"/>
      <c r="P259" s="309"/>
      <c r="Q259" s="309">
        <f>P257+P253</f>
        <v>0</v>
      </c>
      <c r="R259" s="158"/>
      <c r="S259" s="158"/>
      <c r="T259" s="439"/>
      <c r="U259" s="158"/>
      <c r="V259" s="158"/>
      <c r="W259" s="158"/>
      <c r="X259" s="158"/>
      <c r="Y259" s="158"/>
      <c r="Z259" s="158"/>
      <c r="AA259" s="158"/>
      <c r="AB259" s="158"/>
      <c r="AC259" s="309"/>
      <c r="AD259" s="309">
        <f>AC257+AC253</f>
        <v>0</v>
      </c>
      <c r="AE259" s="441"/>
      <c r="AF259" s="158"/>
      <c r="AG259" s="158"/>
      <c r="AH259" s="158"/>
      <c r="AI259" s="158"/>
      <c r="AJ259" s="158"/>
      <c r="AK259" s="158"/>
      <c r="AL259" s="158"/>
      <c r="AM259" s="158"/>
      <c r="AN259" s="158"/>
      <c r="AO259" s="158"/>
      <c r="AP259" s="288"/>
      <c r="AQ259" s="309">
        <f>AP257+AP253</f>
        <v>0</v>
      </c>
    </row>
    <row r="260" spans="1:43" ht="5.25" customHeight="1" x14ac:dyDescent="0.3">
      <c r="T260" s="325"/>
      <c r="U260" s="134"/>
      <c r="V260" s="134"/>
      <c r="W260" s="134"/>
      <c r="X260" s="134"/>
      <c r="Y260" s="134"/>
      <c r="Z260" s="134"/>
      <c r="AA260" s="134"/>
      <c r="AB260" s="134"/>
      <c r="AC260" s="141"/>
      <c r="AD260" s="296"/>
      <c r="AE260" s="326"/>
    </row>
  </sheetData>
  <mergeCells count="455">
    <mergeCell ref="AP90:AQ90"/>
    <mergeCell ref="P230:Q230"/>
    <mergeCell ref="AC230:AD230"/>
    <mergeCell ref="AP230:AQ230"/>
    <mergeCell ref="P228:Q228"/>
    <mergeCell ref="AC228:AD228"/>
    <mergeCell ref="AP228:AQ228"/>
    <mergeCell ref="P229:Q229"/>
    <mergeCell ref="AC229:AD229"/>
    <mergeCell ref="AP229:AQ229"/>
    <mergeCell ref="P226:Q226"/>
    <mergeCell ref="AC226:AD226"/>
    <mergeCell ref="P227:Q227"/>
    <mergeCell ref="AC227:AD227"/>
    <mergeCell ref="P224:Q224"/>
    <mergeCell ref="AC224:AD224"/>
    <mergeCell ref="AP224:AQ224"/>
    <mergeCell ref="P225:Q225"/>
    <mergeCell ref="AC225:AD225"/>
    <mergeCell ref="AP225:AQ225"/>
    <mergeCell ref="AP226:AQ226"/>
    <mergeCell ref="AP227:AQ227"/>
    <mergeCell ref="P220:Q220"/>
    <mergeCell ref="AC220:AD220"/>
    <mergeCell ref="AP220:AQ220"/>
    <mergeCell ref="P223:Q223"/>
    <mergeCell ref="AC223:AD223"/>
    <mergeCell ref="AP223:AQ223"/>
    <mergeCell ref="P218:Q218"/>
    <mergeCell ref="AC218:AD218"/>
    <mergeCell ref="AP218:AQ218"/>
    <mergeCell ref="P219:Q219"/>
    <mergeCell ref="AC219:AD219"/>
    <mergeCell ref="AP219:AQ219"/>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P210:Q210"/>
    <mergeCell ref="AC210:AD210"/>
    <mergeCell ref="AP210:AQ210"/>
    <mergeCell ref="P211:Q211"/>
    <mergeCell ref="P208:Q208"/>
    <mergeCell ref="AC208:AD208"/>
    <mergeCell ref="AP208:AQ208"/>
    <mergeCell ref="P209:Q209"/>
    <mergeCell ref="AC209:AD209"/>
    <mergeCell ref="AP209:AQ209"/>
    <mergeCell ref="AC211:AD211"/>
    <mergeCell ref="P206:Q206"/>
    <mergeCell ref="AC206:AD206"/>
    <mergeCell ref="AP206:AQ206"/>
    <mergeCell ref="P207:Q207"/>
    <mergeCell ref="AC207:AD207"/>
    <mergeCell ref="AP207:AQ207"/>
    <mergeCell ref="P202:Q202"/>
    <mergeCell ref="AC202:AD202"/>
    <mergeCell ref="AP202:AQ202"/>
    <mergeCell ref="AC205:AD205"/>
    <mergeCell ref="P200:Q200"/>
    <mergeCell ref="AC200:AD200"/>
    <mergeCell ref="AP200:AQ200"/>
    <mergeCell ref="P201:Q201"/>
    <mergeCell ref="AC201:AD201"/>
    <mergeCell ref="AP201:AQ201"/>
    <mergeCell ref="P205:Q205"/>
    <mergeCell ref="P198:Q198"/>
    <mergeCell ref="AC198:AD198"/>
    <mergeCell ref="AP198:AQ198"/>
    <mergeCell ref="P199:Q199"/>
    <mergeCell ref="AC199:AD199"/>
    <mergeCell ref="AP199:AQ199"/>
    <mergeCell ref="AP205:AQ205"/>
    <mergeCell ref="P196:Q196"/>
    <mergeCell ref="AC196:AD196"/>
    <mergeCell ref="AP196:AQ196"/>
    <mergeCell ref="P197:Q197"/>
    <mergeCell ref="AC197:AD197"/>
    <mergeCell ref="AP197:AQ197"/>
    <mergeCell ref="P192:Q192"/>
    <mergeCell ref="AC192:AD192"/>
    <mergeCell ref="AP192:AQ192"/>
    <mergeCell ref="P193:Q193"/>
    <mergeCell ref="AC193:AD193"/>
    <mergeCell ref="AP193:AQ193"/>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70:Q170"/>
    <mergeCell ref="AC170:AD170"/>
    <mergeCell ref="AP170:AQ170"/>
    <mergeCell ref="P171:Q171"/>
    <mergeCell ref="AC171:AD171"/>
    <mergeCell ref="AP171:AQ171"/>
    <mergeCell ref="P169:Q169"/>
    <mergeCell ref="AC169:AD169"/>
    <mergeCell ref="AP169:AQ169"/>
    <mergeCell ref="P164:Q164"/>
    <mergeCell ref="AC164:AD164"/>
    <mergeCell ref="AP164:AQ164"/>
    <mergeCell ref="P165:Q165"/>
    <mergeCell ref="AC165:AD165"/>
    <mergeCell ref="AP165:AQ165"/>
    <mergeCell ref="P166:Q166"/>
    <mergeCell ref="P157:Q157"/>
    <mergeCell ref="AC157:AD157"/>
    <mergeCell ref="P158:Q158"/>
    <mergeCell ref="AC158:AD158"/>
    <mergeCell ref="AP158:AQ158"/>
    <mergeCell ref="AC166:AD166"/>
    <mergeCell ref="AP157:AQ157"/>
    <mergeCell ref="P159:Q159"/>
    <mergeCell ref="P160:Q160"/>
    <mergeCell ref="P161:Q161"/>
    <mergeCell ref="P162:Q162"/>
    <mergeCell ref="P163:Q163"/>
    <mergeCell ref="P155:Q155"/>
    <mergeCell ref="AC155:AD155"/>
    <mergeCell ref="P156:Q156"/>
    <mergeCell ref="AC156:AD156"/>
    <mergeCell ref="B150:L150"/>
    <mergeCell ref="P150:Q150"/>
    <mergeCell ref="AC150:AD150"/>
    <mergeCell ref="AP150:AQ150"/>
    <mergeCell ref="P148:Q148"/>
    <mergeCell ref="AC148:AD148"/>
    <mergeCell ref="AP148:AQ148"/>
    <mergeCell ref="P149:Q149"/>
    <mergeCell ref="AC149:AD149"/>
    <mergeCell ref="AP149:AQ149"/>
    <mergeCell ref="AC151:AD151"/>
    <mergeCell ref="P151:Q151"/>
    <mergeCell ref="AP155:AQ155"/>
    <mergeCell ref="AP156:AQ156"/>
    <mergeCell ref="P146:Q146"/>
    <mergeCell ref="AC146:AD146"/>
    <mergeCell ref="AP146:AQ146"/>
    <mergeCell ref="P147:Q147"/>
    <mergeCell ref="AC147:AD147"/>
    <mergeCell ref="AP147:AQ147"/>
    <mergeCell ref="P144:Q144"/>
    <mergeCell ref="AC144:AD144"/>
    <mergeCell ref="AP144:AQ144"/>
    <mergeCell ref="P145:Q145"/>
    <mergeCell ref="AC145:AD145"/>
    <mergeCell ref="AP145:AQ145"/>
    <mergeCell ref="P140:Q140"/>
    <mergeCell ref="AC140:AD140"/>
    <mergeCell ref="AP140:AQ140"/>
    <mergeCell ref="P143:Q143"/>
    <mergeCell ref="AC143:AD143"/>
    <mergeCell ref="AP143:AQ143"/>
    <mergeCell ref="P138:Q138"/>
    <mergeCell ref="AC138:AD138"/>
    <mergeCell ref="AP138:AQ138"/>
    <mergeCell ref="P139:Q139"/>
    <mergeCell ref="AC139:AD139"/>
    <mergeCell ref="AP139:AQ139"/>
    <mergeCell ref="P136:Q136"/>
    <mergeCell ref="AC136:AD136"/>
    <mergeCell ref="AP136:AQ136"/>
    <mergeCell ref="P137:Q137"/>
    <mergeCell ref="AC137:AD137"/>
    <mergeCell ref="AP137:AQ137"/>
    <mergeCell ref="P134:Q134"/>
    <mergeCell ref="AC134:AD134"/>
    <mergeCell ref="AP134:AQ134"/>
    <mergeCell ref="P135:Q135"/>
    <mergeCell ref="AC135:AD135"/>
    <mergeCell ref="AP135:AQ135"/>
    <mergeCell ref="P130:Q130"/>
    <mergeCell ref="AC130:AD130"/>
    <mergeCell ref="AP130:AQ130"/>
    <mergeCell ref="P131:Q131"/>
    <mergeCell ref="AC131:AD131"/>
    <mergeCell ref="AP131:AQ131"/>
    <mergeCell ref="P128:Q128"/>
    <mergeCell ref="AC128:AD128"/>
    <mergeCell ref="AP128:AQ128"/>
    <mergeCell ref="P129:Q129"/>
    <mergeCell ref="AC129:AD129"/>
    <mergeCell ref="AP129:AQ129"/>
    <mergeCell ref="P126:Q126"/>
    <mergeCell ref="AC126:AD126"/>
    <mergeCell ref="AP126:AQ126"/>
    <mergeCell ref="P127:Q127"/>
    <mergeCell ref="AC127:AD127"/>
    <mergeCell ref="AP127:AQ127"/>
    <mergeCell ref="P122:Q122"/>
    <mergeCell ref="AC122:AD122"/>
    <mergeCell ref="AP122:AQ122"/>
    <mergeCell ref="P125:Q125"/>
    <mergeCell ref="AC125:AD125"/>
    <mergeCell ref="AP125:AQ125"/>
    <mergeCell ref="AC112:AD112"/>
    <mergeCell ref="AP112:AQ112"/>
    <mergeCell ref="P113:Q113"/>
    <mergeCell ref="AC113:AD113"/>
    <mergeCell ref="AP113:AQ113"/>
    <mergeCell ref="P120:Q120"/>
    <mergeCell ref="AC120:AD120"/>
    <mergeCell ref="AP120:AQ120"/>
    <mergeCell ref="P121:Q121"/>
    <mergeCell ref="AC121:AD121"/>
    <mergeCell ref="AP121:AQ12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12:Q112"/>
    <mergeCell ref="P96:Q96"/>
    <mergeCell ref="AC96:AD96"/>
    <mergeCell ref="AP96:AQ96"/>
    <mergeCell ref="P107:Q107"/>
    <mergeCell ref="AC107:AD107"/>
    <mergeCell ref="AP107:AQ107"/>
    <mergeCell ref="P101:Q101"/>
    <mergeCell ref="AC101:AD101"/>
    <mergeCell ref="AP101:AQ101"/>
    <mergeCell ref="P99:Q99"/>
    <mergeCell ref="AC99:AD99"/>
    <mergeCell ref="AP99:AQ99"/>
    <mergeCell ref="AC100:AD100"/>
    <mergeCell ref="AP100:AQ100"/>
    <mergeCell ref="P97:Q97"/>
    <mergeCell ref="AC97:AD97"/>
    <mergeCell ref="AP97:AQ97"/>
    <mergeCell ref="P98:Q98"/>
    <mergeCell ref="AC98:AD98"/>
    <mergeCell ref="AP98:AQ98"/>
    <mergeCell ref="B102:L102"/>
    <mergeCell ref="P102:Q102"/>
    <mergeCell ref="AC102:AD102"/>
    <mergeCell ref="AP102:AQ102"/>
    <mergeCell ref="P103:Q103"/>
    <mergeCell ref="AC103:AD103"/>
    <mergeCell ref="P110:Q110"/>
    <mergeCell ref="AC110:AD110"/>
    <mergeCell ref="AP110:AQ110"/>
    <mergeCell ref="P108:Q108"/>
    <mergeCell ref="AC108:AD108"/>
    <mergeCell ref="AP108:AQ108"/>
    <mergeCell ref="P109:Q109"/>
    <mergeCell ref="AC109:AD109"/>
    <mergeCell ref="AP109:AQ109"/>
    <mergeCell ref="B75:L75"/>
    <mergeCell ref="P75:Q75"/>
    <mergeCell ref="AC75:AD75"/>
    <mergeCell ref="AP75:AQ75"/>
    <mergeCell ref="B66:L66"/>
    <mergeCell ref="P66:Q66"/>
    <mergeCell ref="AC66:AD66"/>
    <mergeCell ref="AP66:AQ66"/>
    <mergeCell ref="P71:Q71"/>
    <mergeCell ref="P72:Q72"/>
    <mergeCell ref="P73:Q73"/>
    <mergeCell ref="P74:Q74"/>
    <mergeCell ref="P67:Q67"/>
    <mergeCell ref="AC70:AD70"/>
    <mergeCell ref="AC71:AD71"/>
    <mergeCell ref="AC72:AD72"/>
    <mergeCell ref="AC73:AD73"/>
    <mergeCell ref="AC74:AD74"/>
    <mergeCell ref="D2:AR2"/>
    <mergeCell ref="D4:AR4"/>
    <mergeCell ref="D5:AR5"/>
    <mergeCell ref="H8:Q8"/>
    <mergeCell ref="U8:AD8"/>
    <mergeCell ref="AH8:AQ8"/>
    <mergeCell ref="P34:Q34"/>
    <mergeCell ref="AC34:AD34"/>
    <mergeCell ref="AP34:AQ35"/>
    <mergeCell ref="P19:Q19"/>
    <mergeCell ref="AC19:AD19"/>
    <mergeCell ref="P22:Q22"/>
    <mergeCell ref="AC22:AD22"/>
    <mergeCell ref="AP22:AQ23"/>
    <mergeCell ref="H9:Q9"/>
    <mergeCell ref="U9:AD9"/>
    <mergeCell ref="AH9:AQ9"/>
    <mergeCell ref="P25:Q25"/>
    <mergeCell ref="P28:Q28"/>
    <mergeCell ref="P31:Q31"/>
    <mergeCell ref="AC25:AD25"/>
    <mergeCell ref="AC28:AD28"/>
    <mergeCell ref="AC31:AD31"/>
    <mergeCell ref="AC84:AD84"/>
    <mergeCell ref="AP84:AQ84"/>
    <mergeCell ref="P81:Q81"/>
    <mergeCell ref="AC81:AD81"/>
    <mergeCell ref="P82:Q82"/>
    <mergeCell ref="AC82:AD82"/>
    <mergeCell ref="AC46:AD46"/>
    <mergeCell ref="AP46:AQ47"/>
    <mergeCell ref="P58:Q58"/>
    <mergeCell ref="P64:Q64"/>
    <mergeCell ref="AC64:AD64"/>
    <mergeCell ref="AP64:AQ65"/>
    <mergeCell ref="P55:Q55"/>
    <mergeCell ref="AC55:AD55"/>
    <mergeCell ref="AC80:AD80"/>
    <mergeCell ref="P70:Q70"/>
    <mergeCell ref="P76:Q76"/>
    <mergeCell ref="P40:Q40"/>
    <mergeCell ref="P42:Q42"/>
    <mergeCell ref="AC42:AD42"/>
    <mergeCell ref="AP42:AQ42"/>
    <mergeCell ref="P43:Q43"/>
    <mergeCell ref="P61:Q61"/>
    <mergeCell ref="AC61:AD61"/>
    <mergeCell ref="AP61:AQ62"/>
    <mergeCell ref="AP52:AQ53"/>
    <mergeCell ref="AP55:AQ56"/>
    <mergeCell ref="AC40:AD40"/>
    <mergeCell ref="AW9:BG9"/>
    <mergeCell ref="P11:Q11"/>
    <mergeCell ref="AC11:AD11"/>
    <mergeCell ref="AP11:AQ11"/>
    <mergeCell ref="AW11:BA11"/>
    <mergeCell ref="BC11:BG11"/>
    <mergeCell ref="P16:Q16"/>
    <mergeCell ref="AC16:AD16"/>
    <mergeCell ref="P37:Q37"/>
    <mergeCell ref="AC37:AD37"/>
    <mergeCell ref="AP37:AQ38"/>
    <mergeCell ref="AP13:AQ14"/>
    <mergeCell ref="AP16:AQ17"/>
    <mergeCell ref="AP19:AQ20"/>
    <mergeCell ref="AS9:AU9"/>
    <mergeCell ref="P13:Q13"/>
    <mergeCell ref="AC13:AD13"/>
    <mergeCell ref="AP91:AQ91"/>
    <mergeCell ref="AP25:AQ26"/>
    <mergeCell ref="AP28:AQ29"/>
    <mergeCell ref="AP31:AQ32"/>
    <mergeCell ref="AP95:AQ95"/>
    <mergeCell ref="AP40:AQ41"/>
    <mergeCell ref="AC91:AD91"/>
    <mergeCell ref="P92:Q92"/>
    <mergeCell ref="AC95:AD95"/>
    <mergeCell ref="P49:Q49"/>
    <mergeCell ref="AC49:AD49"/>
    <mergeCell ref="AP49:AQ50"/>
    <mergeCell ref="P87:Q87"/>
    <mergeCell ref="P88:Q88"/>
    <mergeCell ref="P89:Q89"/>
    <mergeCell ref="P90:Q90"/>
    <mergeCell ref="P52:Q52"/>
    <mergeCell ref="AC52:AD52"/>
    <mergeCell ref="P46:Q46"/>
    <mergeCell ref="P83:Q83"/>
    <mergeCell ref="AC83:AD83"/>
    <mergeCell ref="P84:Q84"/>
    <mergeCell ref="AC58:AD58"/>
    <mergeCell ref="AP58:AQ59"/>
    <mergeCell ref="P111:Q111"/>
    <mergeCell ref="AC111:AD111"/>
    <mergeCell ref="AP111:AQ111"/>
    <mergeCell ref="AP231:AQ231"/>
    <mergeCell ref="AP233:AQ233"/>
    <mergeCell ref="AP235:AQ235"/>
    <mergeCell ref="AP240:AQ240"/>
    <mergeCell ref="P257:Q257"/>
    <mergeCell ref="AC257:AD257"/>
    <mergeCell ref="AP257:AQ257"/>
    <mergeCell ref="AP251:AQ251"/>
    <mergeCell ref="AP253:AQ253"/>
    <mergeCell ref="AC251:AD251"/>
    <mergeCell ref="AC249:AD249"/>
    <mergeCell ref="AC253:AD253"/>
    <mergeCell ref="P253:Q253"/>
    <mergeCell ref="AP241:AQ241"/>
    <mergeCell ref="AP243:AQ243"/>
    <mergeCell ref="AP245:AQ245"/>
    <mergeCell ref="AP249:AQ249"/>
    <mergeCell ref="P251:Q251"/>
    <mergeCell ref="AP247:AQ247"/>
    <mergeCell ref="P245:Q245"/>
    <mergeCell ref="P247:Q247"/>
    <mergeCell ref="P249:Q249"/>
    <mergeCell ref="P231:Q231"/>
    <mergeCell ref="P243:Q243"/>
    <mergeCell ref="AC243:AD243"/>
    <mergeCell ref="P240:Q240"/>
    <mergeCell ref="P241:Q241"/>
    <mergeCell ref="AC240:AD240"/>
    <mergeCell ref="AC241:AD241"/>
    <mergeCell ref="AC231:AD231"/>
    <mergeCell ref="AC233:AD233"/>
    <mergeCell ref="AC235:AD235"/>
    <mergeCell ref="AC245:AD245"/>
    <mergeCell ref="AC247:AD247"/>
    <mergeCell ref="P233:Q233"/>
    <mergeCell ref="P235:Q235"/>
  </mergeCells>
  <conditionalFormatting sqref="J13:K13">
    <cfRule type="expression" dxfId="406" priority="524" stopIfTrue="1">
      <formula>CT13=2</formula>
    </cfRule>
  </conditionalFormatting>
  <conditionalFormatting sqref="J16:K16">
    <cfRule type="expression" dxfId="405" priority="141" stopIfTrue="1">
      <formula>CT16=2</formula>
    </cfRule>
  </conditionalFormatting>
  <conditionalFormatting sqref="J19:K19">
    <cfRule type="expression" dxfId="404" priority="135" stopIfTrue="1">
      <formula>CT19=2</formula>
    </cfRule>
  </conditionalFormatting>
  <conditionalFormatting sqref="J22:K22">
    <cfRule type="expression" dxfId="403" priority="125" stopIfTrue="1">
      <formula>CT22=2</formula>
    </cfRule>
  </conditionalFormatting>
  <conditionalFormatting sqref="J25:K25">
    <cfRule type="expression" dxfId="402" priority="119" stopIfTrue="1">
      <formula>CT25=2</formula>
    </cfRule>
  </conditionalFormatting>
  <conditionalFormatting sqref="J28:K28">
    <cfRule type="expression" dxfId="401" priority="109" stopIfTrue="1">
      <formula>CT28=2</formula>
    </cfRule>
  </conditionalFormatting>
  <conditionalFormatting sqref="J31:K31">
    <cfRule type="expression" dxfId="400" priority="103" stopIfTrue="1">
      <formula>CT31=2</formula>
    </cfRule>
  </conditionalFormatting>
  <conditionalFormatting sqref="J34:K34">
    <cfRule type="expression" dxfId="399" priority="93" stopIfTrue="1">
      <formula>CT34=2</formula>
    </cfRule>
  </conditionalFormatting>
  <conditionalFormatting sqref="J37:K37">
    <cfRule type="expression" dxfId="398" priority="87" stopIfTrue="1">
      <formula>CT37=2</formula>
    </cfRule>
  </conditionalFormatting>
  <conditionalFormatting sqref="J40:K40">
    <cfRule type="expression" dxfId="397" priority="77" stopIfTrue="1">
      <formula>CT40=2</formula>
    </cfRule>
  </conditionalFormatting>
  <conditionalFormatting sqref="J46:K46">
    <cfRule type="expression" dxfId="396" priority="71" stopIfTrue="1">
      <formula>CT46=2</formula>
    </cfRule>
  </conditionalFormatting>
  <conditionalFormatting sqref="J49:K49">
    <cfRule type="expression" dxfId="395" priority="61" stopIfTrue="1">
      <formula>CT49=2</formula>
    </cfRule>
  </conditionalFormatting>
  <conditionalFormatting sqref="J51:K52">
    <cfRule type="expression" dxfId="394" priority="52" stopIfTrue="1">
      <formula>CT51=2</formula>
    </cfRule>
  </conditionalFormatting>
  <conditionalFormatting sqref="J55:K55">
    <cfRule type="expression" dxfId="393" priority="42" stopIfTrue="1">
      <formula>CT55=2</formula>
    </cfRule>
  </conditionalFormatting>
  <conditionalFormatting sqref="J58:K58">
    <cfRule type="expression" dxfId="392" priority="36" stopIfTrue="1">
      <formula>CT58=2</formula>
    </cfRule>
  </conditionalFormatting>
  <conditionalFormatting sqref="J61:K61">
    <cfRule type="expression" dxfId="391" priority="4" stopIfTrue="1">
      <formula>CT61=2</formula>
    </cfRule>
  </conditionalFormatting>
  <conditionalFormatting sqref="J64:K64">
    <cfRule type="expression" dxfId="390" priority="10" stopIfTrue="1">
      <formula>CT64=2</formula>
    </cfRule>
  </conditionalFormatting>
  <conditionalFormatting sqref="L14:L15 L17:L18 L23:L24">
    <cfRule type="expression" dxfId="389" priority="518" stopIfTrue="1">
      <formula>CY14=2</formula>
    </cfRule>
  </conditionalFormatting>
  <conditionalFormatting sqref="L20:L21">
    <cfRule type="expression" dxfId="388" priority="134" stopIfTrue="1">
      <formula>CY20=2</formula>
    </cfRule>
  </conditionalFormatting>
  <conditionalFormatting sqref="L26:L27">
    <cfRule type="expression" dxfId="387" priority="118" stopIfTrue="1">
      <formula>CY26=2</formula>
    </cfRule>
  </conditionalFormatting>
  <conditionalFormatting sqref="L32:L33">
    <cfRule type="expression" dxfId="386" priority="102" stopIfTrue="1">
      <formula>CY32=2</formula>
    </cfRule>
  </conditionalFormatting>
  <conditionalFormatting sqref="L38:L39">
    <cfRule type="expression" dxfId="385" priority="86" stopIfTrue="1">
      <formula>CY38=2</formula>
    </cfRule>
  </conditionalFormatting>
  <conditionalFormatting sqref="L45">
    <cfRule type="expression" dxfId="384" priority="2488" stopIfTrue="1">
      <formula>CW45=2</formula>
    </cfRule>
    <cfRule type="expression" dxfId="383" priority="2482" stopIfTrue="1">
      <formula>CY45=2</formula>
    </cfRule>
  </conditionalFormatting>
  <conditionalFormatting sqref="L47:L48">
    <cfRule type="expression" dxfId="382" priority="70" stopIfTrue="1">
      <formula>CY47=2</formula>
    </cfRule>
  </conditionalFormatting>
  <conditionalFormatting sqref="L53:L54">
    <cfRule type="expression" dxfId="381" priority="51" stopIfTrue="1">
      <formula>CY53=2</formula>
    </cfRule>
  </conditionalFormatting>
  <conditionalFormatting sqref="L59:L60">
    <cfRule type="expression" dxfId="380" priority="35" stopIfTrue="1">
      <formula>CY59=2</formula>
    </cfRule>
  </conditionalFormatting>
  <conditionalFormatting sqref="L62:L63">
    <cfRule type="expression" dxfId="379" priority="19" stopIfTrue="1">
      <formula>CY62=2</formula>
    </cfRule>
  </conditionalFormatting>
  <conditionalFormatting sqref="N13">
    <cfRule type="expression" dxfId="378" priority="144" stopIfTrue="1">
      <formula>CX13=2</formula>
    </cfRule>
  </conditionalFormatting>
  <conditionalFormatting sqref="N16">
    <cfRule type="expression" dxfId="377" priority="138" stopIfTrue="1">
      <formula>CX16=2</formula>
    </cfRule>
  </conditionalFormatting>
  <conditionalFormatting sqref="N19">
    <cfRule type="expression" dxfId="376" priority="128" stopIfTrue="1">
      <formula>CX19=2</formula>
    </cfRule>
  </conditionalFormatting>
  <conditionalFormatting sqref="N22">
    <cfRule type="expression" dxfId="375" priority="122" stopIfTrue="1">
      <formula>CX22=2</formula>
    </cfRule>
  </conditionalFormatting>
  <conditionalFormatting sqref="N25">
    <cfRule type="expression" dxfId="374" priority="112" stopIfTrue="1">
      <formula>CX25=2</formula>
    </cfRule>
  </conditionalFormatting>
  <conditionalFormatting sqref="N28">
    <cfRule type="expression" dxfId="373" priority="106" stopIfTrue="1">
      <formula>CX28=2</formula>
    </cfRule>
  </conditionalFormatting>
  <conditionalFormatting sqref="N31">
    <cfRule type="expression" dxfId="372" priority="96" stopIfTrue="1">
      <formula>CX31=2</formula>
    </cfRule>
  </conditionalFormatting>
  <conditionalFormatting sqref="N34">
    <cfRule type="expression" dxfId="371" priority="90" stopIfTrue="1">
      <formula>CX34=2</formula>
    </cfRule>
  </conditionalFormatting>
  <conditionalFormatting sqref="N37">
    <cfRule type="expression" dxfId="370" priority="80" stopIfTrue="1">
      <formula>CX37=2</formula>
    </cfRule>
  </conditionalFormatting>
  <conditionalFormatting sqref="N40">
    <cfRule type="expression" dxfId="369" priority="74" stopIfTrue="1">
      <formula>CX40=2</formula>
    </cfRule>
  </conditionalFormatting>
  <conditionalFormatting sqref="N46">
    <cfRule type="expression" dxfId="368" priority="64" stopIfTrue="1">
      <formula>CX46=2</formula>
    </cfRule>
  </conditionalFormatting>
  <conditionalFormatting sqref="N49">
    <cfRule type="expression" dxfId="367" priority="58" stopIfTrue="1">
      <formula>CX49=2</formula>
    </cfRule>
  </conditionalFormatting>
  <conditionalFormatting sqref="N52">
    <cfRule type="expression" dxfId="366" priority="45" stopIfTrue="1">
      <formula>CX52=2</formula>
    </cfRule>
  </conditionalFormatting>
  <conditionalFormatting sqref="N55">
    <cfRule type="expression" dxfId="365" priority="39" stopIfTrue="1">
      <formula>CX55=2</formula>
    </cfRule>
  </conditionalFormatting>
  <conditionalFormatting sqref="N58">
    <cfRule type="expression" dxfId="364" priority="29" stopIfTrue="1">
      <formula>CX58=2</formula>
    </cfRule>
  </conditionalFormatting>
  <conditionalFormatting sqref="N61">
    <cfRule type="expression" dxfId="363" priority="1" stopIfTrue="1">
      <formula>CX61=2</formula>
    </cfRule>
  </conditionalFormatting>
  <conditionalFormatting sqref="N64">
    <cfRule type="expression" dxfId="362" priority="7" stopIfTrue="1">
      <formula>CX64=2</formula>
    </cfRule>
  </conditionalFormatting>
  <conditionalFormatting sqref="W13">
    <cfRule type="expression" dxfId="361" priority="2844" stopIfTrue="1">
      <formula>DE13=2</formula>
    </cfRule>
  </conditionalFormatting>
  <conditionalFormatting sqref="W46">
    <cfRule type="expression" dxfId="360" priority="1146" stopIfTrue="1">
      <formula>DE46=2</formula>
    </cfRule>
  </conditionalFormatting>
  <conditionalFormatting sqref="W13:X13">
    <cfRule type="expression" dxfId="359" priority="1495" stopIfTrue="1">
      <formula>DG13=2</formula>
    </cfRule>
  </conditionalFormatting>
  <conditionalFormatting sqref="W16:X16">
    <cfRule type="expression" dxfId="358" priority="2661" stopIfTrue="1">
      <formula>DE16=2</formula>
    </cfRule>
    <cfRule type="expression" dxfId="357" priority="1476" stopIfTrue="1">
      <formula>DG16=2</formula>
    </cfRule>
  </conditionalFormatting>
  <conditionalFormatting sqref="W19:X19">
    <cfRule type="expression" dxfId="356" priority="1457" stopIfTrue="1">
      <formula>DG19=2</formula>
    </cfRule>
    <cfRule type="expression" dxfId="355" priority="2648" stopIfTrue="1">
      <formula>DE19=2</formula>
    </cfRule>
  </conditionalFormatting>
  <conditionalFormatting sqref="W22:X22">
    <cfRule type="expression" dxfId="354" priority="2635" stopIfTrue="1">
      <formula>DE22=2</formula>
    </cfRule>
    <cfRule type="expression" dxfId="353" priority="1438" stopIfTrue="1">
      <formula>DG22=2</formula>
    </cfRule>
  </conditionalFormatting>
  <conditionalFormatting sqref="W34:X34">
    <cfRule type="expression" dxfId="352" priority="2622" stopIfTrue="1">
      <formula>DE34=2</formula>
    </cfRule>
    <cfRule type="expression" dxfId="351" priority="1540" stopIfTrue="1">
      <formula>DG34=2</formula>
    </cfRule>
  </conditionalFormatting>
  <conditionalFormatting sqref="W37:X37">
    <cfRule type="expression" dxfId="350" priority="2609" stopIfTrue="1">
      <formula>DE37=2</formula>
    </cfRule>
    <cfRule type="expression" dxfId="349" priority="1419" stopIfTrue="1">
      <formula>DG37=2</formula>
    </cfRule>
  </conditionalFormatting>
  <conditionalFormatting sqref="W40:X40">
    <cfRule type="expression" dxfId="348" priority="2596" stopIfTrue="1">
      <formula>DE40=2</formula>
    </cfRule>
    <cfRule type="expression" dxfId="347" priority="1514" stopIfTrue="1">
      <formula>DG40=2</formula>
    </cfRule>
  </conditionalFormatting>
  <conditionalFormatting sqref="W49:X49">
    <cfRule type="expression" dxfId="346" priority="1140" stopIfTrue="1">
      <formula>DE49=2</formula>
    </cfRule>
  </conditionalFormatting>
  <conditionalFormatting sqref="W52:X52">
    <cfRule type="expression" dxfId="345" priority="1134" stopIfTrue="1">
      <formula>DE52=2</formula>
    </cfRule>
    <cfRule type="expression" dxfId="344" priority="1104" stopIfTrue="1">
      <formula>DG52=2</formula>
    </cfRule>
  </conditionalFormatting>
  <conditionalFormatting sqref="W55:X55">
    <cfRule type="expression" dxfId="343" priority="1052" stopIfTrue="1">
      <formula>DE55=2</formula>
    </cfRule>
    <cfRule type="expression" dxfId="342" priority="1098" stopIfTrue="1">
      <formula>DG55=2</formula>
    </cfRule>
    <cfRule type="expression" dxfId="341" priority="1046" stopIfTrue="1">
      <formula>DG55=2</formula>
    </cfRule>
    <cfRule type="expression" dxfId="340" priority="1128" stopIfTrue="1">
      <formula>DE55=2</formula>
    </cfRule>
  </conditionalFormatting>
  <conditionalFormatting sqref="W58:X58">
    <cfRule type="expression" dxfId="339" priority="1033" stopIfTrue="1">
      <formula>DE58=2</formula>
    </cfRule>
    <cfRule type="expression" dxfId="338" priority="1122" stopIfTrue="1">
      <formula>DE58=2</formula>
    </cfRule>
    <cfRule type="expression" dxfId="337" priority="1092" stopIfTrue="1">
      <formula>DG58=2</formula>
    </cfRule>
    <cfRule type="expression" dxfId="336" priority="1027" stopIfTrue="1">
      <formula>DG58=2</formula>
    </cfRule>
  </conditionalFormatting>
  <conditionalFormatting sqref="W61:X61">
    <cfRule type="expression" dxfId="335" priority="1086" stopIfTrue="1">
      <formula>DG61=2</formula>
    </cfRule>
    <cfRule type="expression" dxfId="334" priority="1008" stopIfTrue="1">
      <formula>DG61=2</formula>
    </cfRule>
    <cfRule type="expression" dxfId="333" priority="1116" stopIfTrue="1">
      <formula>DE61=2</formula>
    </cfRule>
    <cfRule type="expression" dxfId="332" priority="1014" stopIfTrue="1">
      <formula>DE61=2</formula>
    </cfRule>
  </conditionalFormatting>
  <conditionalFormatting sqref="W64:X64">
    <cfRule type="expression" dxfId="331" priority="989" stopIfTrue="1">
      <formula>DG64=2</formula>
    </cfRule>
    <cfRule type="expression" dxfId="330" priority="995" stopIfTrue="1">
      <formula>DE64=2</formula>
    </cfRule>
  </conditionalFormatting>
  <conditionalFormatting sqref="Y13 Y16 Y19 Y22 Y25 Y28 Y31 Y34 Y37 Y40">
    <cfRule type="expression" dxfId="329" priority="573" stopIfTrue="1">
      <formula>DL13=2</formula>
    </cfRule>
  </conditionalFormatting>
  <conditionalFormatting sqref="Y13">
    <cfRule type="expression" dxfId="328" priority="2418" stopIfTrue="1">
      <formula>DJ13=2</formula>
    </cfRule>
  </conditionalFormatting>
  <conditionalFormatting sqref="Y16">
    <cfRule type="expression" dxfId="327" priority="2428" stopIfTrue="1">
      <formula>DJ16=2</formula>
    </cfRule>
  </conditionalFormatting>
  <conditionalFormatting sqref="Y19">
    <cfRule type="expression" dxfId="326" priority="2438" stopIfTrue="1">
      <formula>DJ19=2</formula>
    </cfRule>
  </conditionalFormatting>
  <conditionalFormatting sqref="Y22">
    <cfRule type="expression" dxfId="325" priority="2342" stopIfTrue="1">
      <formula>DJ22=2</formula>
    </cfRule>
  </conditionalFormatting>
  <conditionalFormatting sqref="Y34">
    <cfRule type="expression" dxfId="324" priority="2616" stopIfTrue="1">
      <formula>DJ34=2</formula>
    </cfRule>
  </conditionalFormatting>
  <conditionalFormatting sqref="Y37">
    <cfRule type="expression" dxfId="323" priority="2603" stopIfTrue="1">
      <formula>DJ37=2</formula>
    </cfRule>
  </conditionalFormatting>
  <conditionalFormatting sqref="Y40">
    <cfRule type="expression" dxfId="322" priority="2590" stopIfTrue="1">
      <formula>DJ40=2</formula>
    </cfRule>
  </conditionalFormatting>
  <conditionalFormatting sqref="Y46 Y49 Y52 Y55 Y58 Y61 Y64">
    <cfRule type="expression" dxfId="321" priority="592" stopIfTrue="1">
      <formula>DL46=2</formula>
    </cfRule>
  </conditionalFormatting>
  <conditionalFormatting sqref="Y46">
    <cfRule type="expression" dxfId="320" priority="1143" stopIfTrue="1">
      <formula>DJ46=2</formula>
    </cfRule>
  </conditionalFormatting>
  <conditionalFormatting sqref="Y49">
    <cfRule type="expression" dxfId="319" priority="1139" stopIfTrue="1">
      <formula>DJ49=2</formula>
    </cfRule>
  </conditionalFormatting>
  <conditionalFormatting sqref="Y52">
    <cfRule type="expression" dxfId="318" priority="2442" stopIfTrue="1">
      <formula>DL52=2</formula>
    </cfRule>
    <cfRule type="expression" dxfId="317" priority="2448" stopIfTrue="1">
      <formula>DJ52=2</formula>
    </cfRule>
    <cfRule type="expression" dxfId="316" priority="1133" stopIfTrue="1">
      <formula>DJ52=2</formula>
    </cfRule>
  </conditionalFormatting>
  <conditionalFormatting sqref="Y55">
    <cfRule type="expression" dxfId="315" priority="2452" stopIfTrue="1">
      <formula>DL55=2</formula>
    </cfRule>
    <cfRule type="expression" dxfId="314" priority="1051" stopIfTrue="1">
      <formula>DJ55=2</formula>
    </cfRule>
    <cfRule type="expression" dxfId="313" priority="1127" stopIfTrue="1">
      <formula>DJ55=2</formula>
    </cfRule>
    <cfRule type="expression" dxfId="312" priority="2458" stopIfTrue="1">
      <formula>DJ55=2</formula>
    </cfRule>
    <cfRule type="expression" dxfId="311" priority="1059" stopIfTrue="1">
      <formula>DL55=2</formula>
    </cfRule>
  </conditionalFormatting>
  <conditionalFormatting sqref="Y58">
    <cfRule type="expression" dxfId="310" priority="1121" stopIfTrue="1">
      <formula>DJ58=2</formula>
    </cfRule>
    <cfRule type="expression" dxfId="309" priority="1063" stopIfTrue="1">
      <formula>DL58=2</formula>
    </cfRule>
    <cfRule type="expression" dxfId="308" priority="1032" stopIfTrue="1">
      <formula>DJ58=2</formula>
    </cfRule>
    <cfRule type="expression" dxfId="307" priority="2328" stopIfTrue="1">
      <formula>DJ58=2</formula>
    </cfRule>
    <cfRule type="expression" dxfId="306" priority="2322" stopIfTrue="1">
      <formula>DL58=2</formula>
    </cfRule>
  </conditionalFormatting>
  <conditionalFormatting sqref="Y61">
    <cfRule type="expression" dxfId="305" priority="1115" stopIfTrue="1">
      <formula>DJ61=2</formula>
    </cfRule>
    <cfRule type="expression" dxfId="304" priority="2308" stopIfTrue="1">
      <formula>DL61=2</formula>
    </cfRule>
    <cfRule type="expression" dxfId="303" priority="2314" stopIfTrue="1">
      <formula>DJ61=2</formula>
    </cfRule>
    <cfRule type="expression" dxfId="302" priority="1013" stopIfTrue="1">
      <formula>DJ61=2</formula>
    </cfRule>
    <cfRule type="expression" dxfId="301" priority="1067" stopIfTrue="1">
      <formula>DL61=2</formula>
    </cfRule>
  </conditionalFormatting>
  <conditionalFormatting sqref="Y64">
    <cfRule type="expression" dxfId="300" priority="994" stopIfTrue="1">
      <formula>DJ64=2</formula>
    </cfRule>
  </conditionalFormatting>
  <conditionalFormatting sqref="Y39:AA39 AL39:AN39 Y63:AA63 AL63:AN63">
    <cfRule type="cellIs" dxfId="299" priority="2850" stopIfTrue="1" operator="greaterThan">
      <formula>9</formula>
    </cfRule>
  </conditionalFormatting>
  <conditionalFormatting sqref="AA13">
    <cfRule type="expression" dxfId="298" priority="2839" stopIfTrue="1">
      <formula>DI13=2</formula>
    </cfRule>
    <cfRule type="expression" dxfId="297" priority="1491" stopIfTrue="1">
      <formula>DK13=2</formula>
    </cfRule>
  </conditionalFormatting>
  <conditionalFormatting sqref="AA16 AA19 AA22 AA25 AA28 AA31 AA34 AA37 AA40">
    <cfRule type="expression" dxfId="296" priority="570" stopIfTrue="1">
      <formula>DI16=2</formula>
    </cfRule>
    <cfRule type="expression" dxfId="295" priority="561" stopIfTrue="1">
      <formula>DK16=2</formula>
    </cfRule>
  </conditionalFormatting>
  <conditionalFormatting sqref="AA16">
    <cfRule type="expression" dxfId="294" priority="1472" stopIfTrue="1">
      <formula>DK16=2</formula>
    </cfRule>
    <cfRule type="expression" dxfId="293" priority="2656" stopIfTrue="1">
      <formula>DI16=2</formula>
    </cfRule>
  </conditionalFormatting>
  <conditionalFormatting sqref="AA19">
    <cfRule type="expression" dxfId="292" priority="2643" stopIfTrue="1">
      <formula>DI19=2</formula>
    </cfRule>
    <cfRule type="expression" dxfId="291" priority="1453" stopIfTrue="1">
      <formula>DK19=2</formula>
    </cfRule>
  </conditionalFormatting>
  <conditionalFormatting sqref="AA22">
    <cfRule type="expression" dxfId="290" priority="1434" stopIfTrue="1">
      <formula>DK22=2</formula>
    </cfRule>
    <cfRule type="expression" dxfId="289" priority="2630" stopIfTrue="1">
      <formula>DI22=2</formula>
    </cfRule>
  </conditionalFormatting>
  <conditionalFormatting sqref="AA34">
    <cfRule type="expression" dxfId="288" priority="1536" stopIfTrue="1">
      <formula>DK34=2</formula>
    </cfRule>
    <cfRule type="expression" dxfId="287" priority="2617" stopIfTrue="1">
      <formula>DI34=2</formula>
    </cfRule>
  </conditionalFormatting>
  <conditionalFormatting sqref="AA37">
    <cfRule type="expression" dxfId="286" priority="2604" stopIfTrue="1">
      <formula>DI37=2</formula>
    </cfRule>
    <cfRule type="expression" dxfId="285" priority="1415" stopIfTrue="1">
      <formula>DK37=2</formula>
    </cfRule>
  </conditionalFormatting>
  <conditionalFormatting sqref="AA40">
    <cfRule type="expression" dxfId="284" priority="2591" stopIfTrue="1">
      <formula>DI40=2</formula>
    </cfRule>
    <cfRule type="expression" dxfId="283" priority="1510" stopIfTrue="1">
      <formula>DK40=2</formula>
    </cfRule>
  </conditionalFormatting>
  <conditionalFormatting sqref="AA46">
    <cfRule type="expression" dxfId="282" priority="1144" stopIfTrue="1">
      <formula>DI46=2</formula>
    </cfRule>
  </conditionalFormatting>
  <conditionalFormatting sqref="AA49">
    <cfRule type="expression" dxfId="281" priority="1136" stopIfTrue="1">
      <formula>DI49=2</formula>
    </cfRule>
  </conditionalFormatting>
  <conditionalFormatting sqref="AA52">
    <cfRule type="expression" dxfId="280" priority="1130" stopIfTrue="1">
      <formula>DI52=2</formula>
    </cfRule>
    <cfRule type="expression" dxfId="279" priority="1100" stopIfTrue="1">
      <formula>DK52=2</formula>
    </cfRule>
  </conditionalFormatting>
  <conditionalFormatting sqref="AA55">
    <cfRule type="expression" dxfId="278" priority="1124" stopIfTrue="1">
      <formula>DI55=2</formula>
    </cfRule>
    <cfRule type="expression" dxfId="277" priority="1094" stopIfTrue="1">
      <formula>DK55=2</formula>
    </cfRule>
    <cfRule type="expression" dxfId="276" priority="1048" stopIfTrue="1">
      <formula>DI55=2</formula>
    </cfRule>
    <cfRule type="expression" dxfId="275" priority="1042" stopIfTrue="1">
      <formula>DK55=2</formula>
    </cfRule>
  </conditionalFormatting>
  <conditionalFormatting sqref="AA58">
    <cfRule type="expression" dxfId="274" priority="1023" stopIfTrue="1">
      <formula>DK58=2</formula>
    </cfRule>
    <cfRule type="expression" dxfId="273" priority="1118" stopIfTrue="1">
      <formula>DI58=2</formula>
    </cfRule>
    <cfRule type="expression" dxfId="272" priority="1088" stopIfTrue="1">
      <formula>DK58=2</formula>
    </cfRule>
    <cfRule type="expression" dxfId="271" priority="1029" stopIfTrue="1">
      <formula>DI58=2</formula>
    </cfRule>
  </conditionalFormatting>
  <conditionalFormatting sqref="AA61">
    <cfRule type="expression" dxfId="270" priority="1112" stopIfTrue="1">
      <formula>DI61=2</formula>
    </cfRule>
    <cfRule type="expression" dxfId="269" priority="1004" stopIfTrue="1">
      <formula>DK61=2</formula>
    </cfRule>
    <cfRule type="expression" dxfId="268" priority="1082" stopIfTrue="1">
      <formula>DK61=2</formula>
    </cfRule>
    <cfRule type="expression" dxfId="267" priority="1010" stopIfTrue="1">
      <formula>DI61=2</formula>
    </cfRule>
  </conditionalFormatting>
  <conditionalFormatting sqref="AA64">
    <cfRule type="expression" dxfId="266" priority="985" stopIfTrue="1">
      <formula>DK64=2</formula>
    </cfRule>
    <cfRule type="expression" dxfId="265" priority="991" stopIfTrue="1">
      <formula>DI64=2</formula>
    </cfRule>
  </conditionalFormatting>
  <dataValidations count="5">
    <dataValidation operator="lessThanOrEqual" allowBlank="1" showInputMessage="1" showErrorMessage="1" errorTitle="ERROR!" promptTitle="% Effort" prompt="Please enter the amount of time you plan to work on this proposal for each of the total months listed in &quot;# Months.&quot;" sqref="J31 AA34 W37 AA19 J25 J52 N52 W22 AA31 W34 AA16 W19 N25 N31 W16 J55 N55 J46 N46 J58 N58 AA13 J49 J37 N37 AA28 J40 N40 J28 W13 AA37 AA40 J19 W58 N19 N28 W40 AA22 AA25 N49 J34 N34 AA64 W64 W46 AA46 W49 AA49 AA52 W52 AA55 W55 AA61 W61 AA58 J13 N13 J22 N22 J16 N16 J64 N64 J61 N61" xr:uid="{00000000-0002-0000-0700-000000000000}"/>
    <dataValidation type="list" allowBlank="1" showInputMessage="1" showErrorMessage="1" sqref="D16 D22 D19 D37 D40 D46 D34 D49 D52 D55 D58 D61 D64 D25 D28 D31 D13" xr:uid="{00000000-0002-0000-0700-000001000000}">
      <formula1>Faculty</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5) in this box." sqref="L45" xr:uid="{00000000-0002-0000-0700-000002000000}">
      <formula1>3.5</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Y61 Y19 Y64 Y28 Y31 Y34 Y37 Y22 Y13 Y16 Y40 Y25 Y55 Y58 Y49 Y52 Y46" xr:uid="{00000000-0002-0000-0700-000003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37 L25 H40 U28 U31 U34 U37 L28 L31 L34 U40 L19 H46 H49 L52 L55 L58 U46 U49 U52 U55 U58 U61 U64 U13 U16 U19 U22 U25 H13 H16 L13 L16 L22 H19 H22 H25 H28 H31 H34 L37 L40 L46 L49 H52 H55 H58 L64 H64 H61 L61" xr:uid="{00000000-0002-0000-0700-000004000000}">
      <formula1>9</formula1>
    </dataValidation>
  </dataValidations>
  <printOptions horizontalCentered="1"/>
  <pageMargins left="0.5" right="0.5" top="0.5" bottom="0.5" header="0.5" footer="0.23"/>
  <pageSetup scale="93" fitToHeight="2" orientation="portrait" r:id="rId1"/>
  <headerFooter alignWithMargins="0">
    <oddFooter>&amp;L&amp;"-,Regular"&amp;8&amp;F/&amp;A&amp;C&amp;"Calibri,Regular"&amp;8Page &amp;P of &amp;N&amp;R&amp;"Calibri,Regular"&amp;8&amp;D</oddFooter>
  </headerFooter>
  <rowBreaks count="1" manualBreakCount="1">
    <brk id="176" max="43" man="1"/>
  </rowBreaks>
  <ignoredErrors>
    <ignoredError sqref="B79:B94 B164:B222 B154:B15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87"/>
  <sheetViews>
    <sheetView topLeftCell="A19" workbookViewId="0">
      <selection activeCell="D4" sqref="D4:Y4"/>
    </sheetView>
  </sheetViews>
  <sheetFormatPr defaultColWidth="8" defaultRowHeight="13.8" x14ac:dyDescent="0.3"/>
  <cols>
    <col min="1" max="1" width="5.109375" style="237" customWidth="1"/>
    <col min="2" max="2" width="8" style="237" customWidth="1"/>
    <col min="3" max="3" width="5.109375" style="237" customWidth="1"/>
    <col min="4" max="4" width="27.109375" style="237" customWidth="1"/>
    <col min="5" max="5" width="9.21875" style="244" customWidth="1"/>
    <col min="6" max="6" width="0.88671875" style="244" customWidth="1"/>
    <col min="7" max="7" width="7.109375" style="244" customWidth="1"/>
    <col min="8" max="8" width="0.88671875" style="244" customWidth="1"/>
    <col min="9" max="9" width="7.109375" style="244" customWidth="1"/>
    <col min="10" max="10" width="0.88671875" style="244" customWidth="1"/>
    <col min="11" max="11" width="8.21875" style="244" customWidth="1"/>
    <col min="12" max="12" width="4.88671875" style="237" customWidth="1"/>
    <col min="13" max="13" width="8" style="237" customWidth="1"/>
    <col min="14" max="14" width="3.109375" style="237" customWidth="1"/>
    <col min="15" max="16384" width="8" style="237"/>
  </cols>
  <sheetData>
    <row r="1" spans="2:19" ht="33" customHeight="1" x14ac:dyDescent="0.4">
      <c r="C1" s="710" t="s">
        <v>659</v>
      </c>
      <c r="D1" s="710"/>
      <c r="E1" s="710"/>
      <c r="F1" s="710"/>
      <c r="G1" s="710"/>
      <c r="H1" s="710"/>
      <c r="I1" s="710"/>
      <c r="J1" s="710"/>
      <c r="K1" s="710"/>
      <c r="L1" s="710"/>
    </row>
    <row r="2" spans="2:19" ht="24" customHeight="1" x14ac:dyDescent="0.4">
      <c r="C2" s="713" t="s">
        <v>660</v>
      </c>
      <c r="D2" s="713"/>
      <c r="E2" s="713"/>
      <c r="F2" s="713"/>
      <c r="G2" s="713"/>
      <c r="H2" s="713"/>
      <c r="I2" s="713"/>
      <c r="J2" s="713"/>
      <c r="K2" s="713"/>
      <c r="L2" s="713"/>
    </row>
    <row r="3" spans="2:19" ht="25.5" customHeight="1" x14ac:dyDescent="0.3">
      <c r="C3" s="711" t="s">
        <v>661</v>
      </c>
      <c r="D3" s="711"/>
      <c r="E3" s="711"/>
      <c r="F3" s="711"/>
      <c r="G3" s="711"/>
      <c r="H3" s="711"/>
      <c r="I3" s="711"/>
      <c r="J3" s="711"/>
      <c r="K3" s="711"/>
    </row>
    <row r="4" spans="2:19" ht="9.75" customHeight="1" x14ac:dyDescent="0.3">
      <c r="C4" s="599"/>
      <c r="D4" s="599"/>
      <c r="E4" s="599"/>
      <c r="F4" s="599"/>
      <c r="G4" s="599"/>
      <c r="H4" s="599"/>
      <c r="I4" s="599"/>
      <c r="J4" s="599"/>
      <c r="K4" s="599"/>
    </row>
    <row r="5" spans="2:19" ht="47.25" customHeight="1" x14ac:dyDescent="0.3">
      <c r="B5" s="712">
        <f>'YEAR 3'!D4</f>
        <v>0</v>
      </c>
      <c r="C5" s="712"/>
      <c r="D5" s="712"/>
      <c r="E5" s="712"/>
      <c r="F5" s="712"/>
      <c r="G5" s="712"/>
      <c r="H5" s="712"/>
      <c r="I5" s="712"/>
      <c r="J5" s="712"/>
      <c r="K5" s="712"/>
      <c r="L5" s="238"/>
      <c r="M5" s="238"/>
      <c r="N5" s="239" t="s">
        <v>179</v>
      </c>
      <c r="O5" s="238"/>
      <c r="P5" s="238"/>
      <c r="Q5" s="238"/>
      <c r="R5" s="238"/>
      <c r="S5" s="238"/>
    </row>
    <row r="6" spans="2:19" ht="15.6" x14ac:dyDescent="0.3">
      <c r="B6" s="714" t="str">
        <f>'YEAR 3'!D5</f>
        <v>Year Three:  December 31, 1901 - December 30, 1902</v>
      </c>
      <c r="C6" s="714"/>
      <c r="D6" s="714"/>
      <c r="E6" s="714"/>
      <c r="F6" s="714"/>
      <c r="G6" s="714"/>
      <c r="H6" s="714"/>
      <c r="I6" s="714"/>
      <c r="J6" s="714"/>
      <c r="K6" s="714"/>
    </row>
    <row r="7" spans="2:19" ht="18" x14ac:dyDescent="0.35">
      <c r="B7" s="708"/>
      <c r="C7" s="708"/>
      <c r="D7" s="708"/>
      <c r="E7" s="708"/>
      <c r="F7" s="708"/>
      <c r="G7" s="708"/>
      <c r="H7" s="708"/>
      <c r="I7" s="708"/>
      <c r="J7" s="708"/>
      <c r="K7" s="708"/>
    </row>
    <row r="8" spans="2:19" ht="2.25" customHeight="1" x14ac:dyDescent="0.3">
      <c r="B8" s="709"/>
      <c r="C8" s="709"/>
      <c r="D8" s="709"/>
      <c r="E8" s="709"/>
      <c r="F8" s="709"/>
      <c r="G8" s="709"/>
      <c r="H8" s="709"/>
      <c r="I8" s="709"/>
      <c r="J8" s="709"/>
      <c r="K8" s="709"/>
    </row>
    <row r="9" spans="2:19" s="240" customFormat="1" ht="15.6" x14ac:dyDescent="0.2">
      <c r="B9" s="598"/>
      <c r="C9" s="598"/>
      <c r="D9" s="598"/>
      <c r="E9" s="707"/>
      <c r="F9" s="707"/>
      <c r="G9" s="707"/>
      <c r="H9" s="707"/>
      <c r="I9" s="707"/>
      <c r="J9" s="707"/>
      <c r="K9" s="707"/>
    </row>
    <row r="10" spans="2:19" ht="41.4" x14ac:dyDescent="0.3">
      <c r="B10" s="241" t="s">
        <v>662</v>
      </c>
      <c r="C10" s="241"/>
      <c r="D10" s="241"/>
      <c r="E10" s="242" t="s">
        <v>663</v>
      </c>
      <c r="F10" s="242"/>
      <c r="G10" s="242" t="s">
        <v>664</v>
      </c>
      <c r="H10" s="242"/>
      <c r="I10" s="242" t="s">
        <v>665</v>
      </c>
      <c r="J10" s="242"/>
      <c r="K10" s="243" t="s">
        <v>666</v>
      </c>
    </row>
    <row r="11" spans="2:19" ht="15" customHeight="1" thickBot="1" x14ac:dyDescent="0.35">
      <c r="B11" s="244"/>
      <c r="C11" s="244"/>
      <c r="D11" s="244"/>
      <c r="K11" s="245"/>
    </row>
    <row r="12" spans="2:19" ht="15" customHeight="1" thickBot="1" x14ac:dyDescent="0.35">
      <c r="B12" s="246" t="s">
        <v>180</v>
      </c>
      <c r="C12" s="247" t="s">
        <v>667</v>
      </c>
      <c r="D12" s="247"/>
      <c r="E12" s="255">
        <f>'YEAR 3'!AW67</f>
        <v>0</v>
      </c>
      <c r="F12" s="256"/>
      <c r="G12" s="255">
        <f>'YEAR 3'!AY67</f>
        <v>0</v>
      </c>
      <c r="H12" s="256"/>
      <c r="I12" s="264">
        <v>0</v>
      </c>
      <c r="J12" s="256"/>
      <c r="K12" s="257">
        <f>ROUND(E12+G12+I12,0)</f>
        <v>0</v>
      </c>
      <c r="L12" s="248"/>
      <c r="M12" s="237">
        <f>ROUND('YEAR 3'!BA67,0)</f>
        <v>0</v>
      </c>
    </row>
    <row r="13" spans="2:19" ht="4.5" customHeight="1" thickBot="1" x14ac:dyDescent="0.35">
      <c r="B13" s="244"/>
      <c r="C13" s="244"/>
      <c r="D13" s="244"/>
      <c r="E13" s="256"/>
      <c r="F13" s="256"/>
      <c r="G13" s="256"/>
      <c r="H13" s="256"/>
      <c r="I13" s="256"/>
      <c r="J13" s="256"/>
      <c r="K13" s="258"/>
    </row>
    <row r="14" spans="2:19" ht="15" customHeight="1" thickBot="1" x14ac:dyDescent="0.35">
      <c r="B14" s="246" t="s">
        <v>182</v>
      </c>
      <c r="C14" s="249" t="s">
        <v>668</v>
      </c>
      <c r="D14" s="249"/>
      <c r="E14" s="255">
        <f>'YEAR 3'!BC67</f>
        <v>0</v>
      </c>
      <c r="F14" s="256"/>
      <c r="G14" s="255">
        <f>'YEAR 3'!BE67</f>
        <v>0</v>
      </c>
      <c r="H14" s="256"/>
      <c r="I14" s="264">
        <v>0</v>
      </c>
      <c r="J14" s="256"/>
      <c r="K14" s="257">
        <f>ROUND(E14+G14+I14,0)</f>
        <v>0</v>
      </c>
      <c r="M14" s="237">
        <f>ROUND('YEAR 3'!BG67,0)</f>
        <v>0</v>
      </c>
    </row>
    <row r="15" spans="2:19" ht="4.5" customHeight="1" thickBot="1" x14ac:dyDescent="0.35">
      <c r="B15" s="244"/>
      <c r="C15" s="244"/>
      <c r="D15" s="244"/>
      <c r="E15" s="256"/>
      <c r="F15" s="256"/>
      <c r="G15" s="256"/>
      <c r="H15" s="256"/>
      <c r="I15" s="256"/>
      <c r="J15" s="256"/>
      <c r="K15" s="258"/>
    </row>
    <row r="16" spans="2:19" ht="15" customHeight="1" thickBot="1" x14ac:dyDescent="0.35">
      <c r="B16" s="246" t="s">
        <v>184</v>
      </c>
      <c r="C16" s="247" t="s">
        <v>669</v>
      </c>
      <c r="D16" s="247"/>
      <c r="E16" s="255">
        <f>'YEAR 3'!P103</f>
        <v>0</v>
      </c>
      <c r="F16" s="256"/>
      <c r="G16" s="255">
        <f>'YEAR 3'!AC103</f>
        <v>0</v>
      </c>
      <c r="H16" s="256"/>
      <c r="I16" s="264">
        <v>0</v>
      </c>
      <c r="J16" s="256"/>
      <c r="K16" s="257">
        <f>ROUND(E16+G16+I16,0)</f>
        <v>0</v>
      </c>
      <c r="M16" s="237">
        <f>ROUND('YEAR 3'!AQ103,0)</f>
        <v>0</v>
      </c>
    </row>
    <row r="17" spans="2:14" ht="4.5" customHeight="1" thickBot="1" x14ac:dyDescent="0.35">
      <c r="B17" s="244"/>
      <c r="C17" s="244"/>
      <c r="D17" s="244"/>
      <c r="E17" s="256"/>
      <c r="F17" s="256"/>
      <c r="G17" s="256"/>
      <c r="H17" s="256"/>
      <c r="I17" s="256"/>
      <c r="J17" s="256"/>
      <c r="K17" s="258"/>
    </row>
    <row r="18" spans="2:14" ht="15" customHeight="1" thickBot="1" x14ac:dyDescent="0.35">
      <c r="B18" s="246" t="s">
        <v>670</v>
      </c>
      <c r="C18" s="247" t="s">
        <v>671</v>
      </c>
      <c r="D18" s="247"/>
      <c r="E18" s="255">
        <f>'YEAR 3'!P76</f>
        <v>0</v>
      </c>
      <c r="F18" s="256"/>
      <c r="G18" s="255">
        <f>'YEAR 3'!AD76</f>
        <v>0</v>
      </c>
      <c r="H18" s="256"/>
      <c r="I18" s="264">
        <v>0</v>
      </c>
      <c r="J18" s="256"/>
      <c r="K18" s="257">
        <f>ROUND(E18+G18+I18,0)</f>
        <v>0</v>
      </c>
      <c r="M18" s="237">
        <f>ROUND('YEAR 3'!AQ76,0)</f>
        <v>0</v>
      </c>
    </row>
    <row r="19" spans="2:14" ht="4.5" customHeight="1" thickBot="1" x14ac:dyDescent="0.35">
      <c r="B19" s="244"/>
      <c r="C19" s="244"/>
      <c r="D19" s="244"/>
      <c r="E19" s="256"/>
      <c r="F19" s="256"/>
      <c r="G19" s="256"/>
      <c r="H19" s="256"/>
      <c r="I19" s="256"/>
      <c r="J19" s="256"/>
      <c r="K19" s="258"/>
    </row>
    <row r="20" spans="2:14" ht="15" customHeight="1" thickBot="1" x14ac:dyDescent="0.35">
      <c r="B20" s="246" t="s">
        <v>672</v>
      </c>
      <c r="C20" s="247" t="s">
        <v>673</v>
      </c>
      <c r="D20" s="247"/>
      <c r="E20" s="255">
        <f>'YEAR 3'!P166</f>
        <v>0</v>
      </c>
      <c r="F20" s="256"/>
      <c r="G20" s="255">
        <f>'YEAR 3'!AC166</f>
        <v>0</v>
      </c>
      <c r="H20" s="256"/>
      <c r="I20" s="264">
        <v>0</v>
      </c>
      <c r="J20" s="256"/>
      <c r="K20" s="257">
        <f>ROUND(E20+G20+I20,0)</f>
        <v>0</v>
      </c>
    </row>
    <row r="21" spans="2:14" ht="4.5" customHeight="1" thickBot="1" x14ac:dyDescent="0.35">
      <c r="B21" s="244"/>
      <c r="C21" s="244"/>
      <c r="D21" s="244"/>
      <c r="E21" s="256"/>
      <c r="F21" s="256"/>
      <c r="G21" s="256"/>
      <c r="H21" s="256"/>
      <c r="I21" s="256"/>
      <c r="J21" s="256"/>
      <c r="K21" s="258"/>
    </row>
    <row r="22" spans="2:14" ht="15" customHeight="1" thickBot="1" x14ac:dyDescent="0.35">
      <c r="B22" s="246" t="s">
        <v>674</v>
      </c>
      <c r="C22" s="247" t="s">
        <v>675</v>
      </c>
      <c r="D22" s="247"/>
      <c r="E22" s="255">
        <f>'YEAR 3'!P184+'YEAR 3'!P202</f>
        <v>0</v>
      </c>
      <c r="F22" s="256"/>
      <c r="G22" s="255">
        <f>'YEAR 3'!AC184+'YEAR 3'!AC202</f>
        <v>0</v>
      </c>
      <c r="H22" s="256"/>
      <c r="I22" s="264">
        <v>0</v>
      </c>
      <c r="J22" s="256"/>
      <c r="K22" s="257">
        <f>ROUND(E22+G22+I22,0)</f>
        <v>0</v>
      </c>
    </row>
    <row r="23" spans="2:14" ht="4.5" customHeight="1" thickBot="1" x14ac:dyDescent="0.35">
      <c r="E23" s="256"/>
      <c r="F23" s="256"/>
      <c r="G23" s="256"/>
      <c r="H23" s="256"/>
      <c r="I23" s="256"/>
      <c r="J23" s="256"/>
      <c r="K23" s="258"/>
    </row>
    <row r="24" spans="2:14" ht="14.4" thickBot="1" x14ac:dyDescent="0.35">
      <c r="B24" s="246" t="s">
        <v>676</v>
      </c>
      <c r="C24" s="247" t="s">
        <v>677</v>
      </c>
      <c r="D24" s="247"/>
      <c r="E24" s="255">
        <f>'YEAR 3'!P220</f>
        <v>0</v>
      </c>
      <c r="F24" s="256"/>
      <c r="G24" s="255">
        <f>'YEAR 3'!AC220</f>
        <v>0</v>
      </c>
      <c r="H24" s="256"/>
      <c r="I24" s="264">
        <v>0</v>
      </c>
      <c r="J24" s="256"/>
      <c r="K24" s="257">
        <f>ROUND(E24+G24+I24,0)</f>
        <v>0</v>
      </c>
    </row>
    <row r="25" spans="2:14" ht="4.5" customHeight="1" thickBot="1" x14ac:dyDescent="0.35">
      <c r="B25" s="244"/>
      <c r="E25" s="256"/>
      <c r="F25" s="256"/>
      <c r="G25" s="256"/>
      <c r="H25" s="256"/>
      <c r="I25" s="256"/>
      <c r="J25" s="256"/>
      <c r="K25" s="258"/>
    </row>
    <row r="26" spans="2:14" ht="14.4" thickBot="1" x14ac:dyDescent="0.35">
      <c r="B26" s="246" t="s">
        <v>678</v>
      </c>
      <c r="C26" s="247" t="s">
        <v>679</v>
      </c>
      <c r="D26" s="247"/>
      <c r="E26" s="265">
        <f>'YEAR 3'!P151+'YEAR 3'!P175+'YEAR 3'!P193+'YEAR 3'!P211+'YEAR 3'!P231</f>
        <v>0</v>
      </c>
      <c r="F26" s="256"/>
      <c r="G26" s="255">
        <f>'YEAR 3'!AC151+'YEAR 3'!AC175+'YEAR 3'!AC193+'YEAR 3'!AC231</f>
        <v>0</v>
      </c>
      <c r="H26" s="256"/>
      <c r="I26" s="264">
        <v>0</v>
      </c>
      <c r="J26" s="256"/>
      <c r="K26" s="257">
        <f>ROUND(E26+G26+I26,0)</f>
        <v>0</v>
      </c>
    </row>
    <row r="27" spans="2:14" ht="4.5" customHeight="1" thickBot="1" x14ac:dyDescent="0.35">
      <c r="B27" s="244"/>
      <c r="E27" s="256"/>
      <c r="F27" s="256"/>
      <c r="G27" s="256"/>
      <c r="H27" s="256"/>
      <c r="I27" s="256"/>
      <c r="J27" s="256"/>
      <c r="K27" s="258"/>
    </row>
    <row r="28" spans="2:14" ht="14.4" thickBot="1" x14ac:dyDescent="0.35">
      <c r="B28" s="246" t="s">
        <v>680</v>
      </c>
      <c r="C28" s="247" t="s">
        <v>681</v>
      </c>
      <c r="D28" s="247"/>
      <c r="E28" s="255">
        <f>ROUND(SUM(E11:E27),0)</f>
        <v>0</v>
      </c>
      <c r="F28" s="256"/>
      <c r="G28" s="255">
        <f>ROUND(SUM(G11:G27),0)</f>
        <v>0</v>
      </c>
      <c r="H28" s="256"/>
      <c r="I28" s="255">
        <f>ROUND(SUM(I11:I27),0)</f>
        <v>0</v>
      </c>
      <c r="J28" s="256"/>
      <c r="K28" s="257">
        <f>ROUND(E28+G28+I28,0)</f>
        <v>0</v>
      </c>
      <c r="M28" s="250">
        <f>ROUND(SUM(K12:K26),0)</f>
        <v>0</v>
      </c>
      <c r="N28" s="237">
        <f>IF(M28&lt;&gt;K28,1,0)</f>
        <v>0</v>
      </c>
    </row>
    <row r="29" spans="2:14" ht="4.5" customHeight="1" thickBot="1" x14ac:dyDescent="0.35">
      <c r="B29" s="244"/>
      <c r="E29" s="256"/>
      <c r="F29" s="256"/>
      <c r="G29" s="256"/>
      <c r="H29" s="256"/>
      <c r="I29" s="256"/>
      <c r="J29" s="256"/>
      <c r="K29" s="258"/>
    </row>
    <row r="30" spans="2:14" ht="14.4" thickBot="1" x14ac:dyDescent="0.35">
      <c r="B30" s="246" t="s">
        <v>682</v>
      </c>
      <c r="C30" s="247" t="s">
        <v>683</v>
      </c>
      <c r="D30" s="247"/>
      <c r="E30" s="255">
        <f>E42</f>
        <v>0</v>
      </c>
      <c r="F30" s="256"/>
      <c r="G30" s="255">
        <f>G40</f>
        <v>0</v>
      </c>
      <c r="H30" s="256"/>
      <c r="I30" s="255">
        <f>ROUND(I42,0)</f>
        <v>0</v>
      </c>
      <c r="J30" s="256"/>
      <c r="K30" s="257">
        <f>ROUND(E30+G30+I30,0)</f>
        <v>0</v>
      </c>
    </row>
    <row r="31" spans="2:14" ht="5.25" customHeight="1" x14ac:dyDescent="0.3">
      <c r="B31" s="246"/>
      <c r="C31" s="247"/>
      <c r="D31" s="247"/>
      <c r="E31" s="256"/>
      <c r="F31" s="256"/>
      <c r="G31" s="256"/>
      <c r="H31" s="256"/>
      <c r="I31" s="256"/>
      <c r="J31" s="256"/>
      <c r="K31" s="258"/>
    </row>
    <row r="32" spans="2:14" x14ac:dyDescent="0.3">
      <c r="B32" s="244"/>
      <c r="C32" s="251" t="s">
        <v>684</v>
      </c>
      <c r="E32" s="259"/>
      <c r="F32" s="259"/>
      <c r="G32" s="259"/>
      <c r="H32" s="259"/>
      <c r="I32" s="259"/>
      <c r="J32" s="259"/>
      <c r="K32" s="258"/>
    </row>
    <row r="33" spans="2:11" x14ac:dyDescent="0.3">
      <c r="B33" s="244"/>
      <c r="D33" s="237" t="s">
        <v>685</v>
      </c>
      <c r="E33" s="260">
        <f>'YEAR 3'!P240</f>
        <v>0</v>
      </c>
      <c r="F33" s="259"/>
      <c r="G33" s="260">
        <f>'YEAR 3'!AD240</f>
        <v>0</v>
      </c>
      <c r="H33" s="259"/>
      <c r="I33" s="256">
        <v>0</v>
      </c>
      <c r="J33" s="259"/>
      <c r="K33" s="258"/>
    </row>
    <row r="34" spans="2:11" x14ac:dyDescent="0.3">
      <c r="B34" s="244"/>
      <c r="D34" s="237" t="s">
        <v>686</v>
      </c>
      <c r="E34" s="261">
        <f>'YEAR 3'!P241</f>
        <v>0</v>
      </c>
      <c r="F34" s="259"/>
      <c r="G34" s="261">
        <f>'YEAR 3'!AD241</f>
        <v>0</v>
      </c>
      <c r="H34" s="259"/>
      <c r="I34" s="262">
        <v>0</v>
      </c>
      <c r="J34" s="259"/>
      <c r="K34" s="258"/>
    </row>
    <row r="35" spans="2:11" ht="4.5" customHeight="1" x14ac:dyDescent="0.3">
      <c r="B35" s="244"/>
      <c r="E35" s="259"/>
      <c r="F35" s="259"/>
      <c r="G35" s="259"/>
      <c r="H35" s="259"/>
      <c r="I35" s="256"/>
      <c r="J35" s="259"/>
      <c r="K35" s="258"/>
    </row>
    <row r="36" spans="2:11" x14ac:dyDescent="0.3">
      <c r="B36" s="244"/>
      <c r="C36" s="237" t="s">
        <v>687</v>
      </c>
      <c r="E36" s="260">
        <f>'YEAR 3'!P243</f>
        <v>0</v>
      </c>
      <c r="F36" s="259"/>
      <c r="G36" s="260">
        <f>'YEAR 3'!AD243</f>
        <v>0</v>
      </c>
      <c r="H36" s="259"/>
      <c r="I36" s="256">
        <v>0</v>
      </c>
      <c r="J36" s="259"/>
      <c r="K36" s="258"/>
    </row>
    <row r="37" spans="2:11" ht="4.5" customHeight="1" x14ac:dyDescent="0.3">
      <c r="B37" s="244"/>
      <c r="E37" s="259"/>
      <c r="F37" s="259"/>
      <c r="G37" s="259"/>
      <c r="H37" s="259"/>
      <c r="I37" s="256"/>
      <c r="J37" s="259"/>
      <c r="K37" s="258"/>
    </row>
    <row r="38" spans="2:11" x14ac:dyDescent="0.3">
      <c r="B38" s="244"/>
      <c r="D38" s="237" t="str">
        <f>'YEAR 3'!C245</f>
        <v>SDSM&amp;T  Indirect  @ 42.0%</v>
      </c>
      <c r="E38" s="260">
        <f>'YEAR 3'!P245</f>
        <v>0</v>
      </c>
      <c r="F38" s="263"/>
      <c r="G38" s="260">
        <f>'YEAR 3'!AC245</f>
        <v>0</v>
      </c>
      <c r="H38" s="263"/>
      <c r="I38" s="256">
        <v>0</v>
      </c>
      <c r="J38" s="263"/>
      <c r="K38" s="258"/>
    </row>
    <row r="39" spans="2:11" ht="3.75" customHeight="1" x14ac:dyDescent="0.3">
      <c r="B39" s="244"/>
      <c r="E39" s="259"/>
      <c r="F39" s="259"/>
      <c r="G39" s="259"/>
      <c r="H39" s="259"/>
      <c r="I39" s="256"/>
      <c r="J39" s="259"/>
      <c r="K39" s="258"/>
    </row>
    <row r="40" spans="2:11" x14ac:dyDescent="0.3">
      <c r="B40" s="244"/>
      <c r="D40" s="237" t="str">
        <f>'YEAR 3'!D247</f>
        <v>SDSM&amp;T Unrecovered Indirect @ 0.0%</v>
      </c>
      <c r="E40" s="261">
        <f>'YEAR 3'!P247</f>
        <v>0</v>
      </c>
      <c r="F40" s="263"/>
      <c r="G40" s="261">
        <f>'YEAR 3'!AC247</f>
        <v>0</v>
      </c>
      <c r="H40" s="263"/>
      <c r="I40" s="262">
        <v>0</v>
      </c>
      <c r="J40" s="263"/>
      <c r="K40" s="258"/>
    </row>
    <row r="41" spans="2:11" ht="3.75" customHeight="1" x14ac:dyDescent="0.3">
      <c r="B41" s="244"/>
      <c r="E41" s="259"/>
      <c r="F41" s="259"/>
      <c r="G41" s="259"/>
      <c r="H41" s="259"/>
      <c r="I41" s="256"/>
      <c r="J41" s="259"/>
      <c r="K41" s="258"/>
    </row>
    <row r="42" spans="2:11" x14ac:dyDescent="0.3">
      <c r="B42" s="244"/>
      <c r="D42" s="237" t="str">
        <f>'YEAR 3'!C249</f>
        <v>SDSM&amp;T Indirect Recovered @ 42.0%</v>
      </c>
      <c r="E42" s="260">
        <f>'YEAR 3'!P249</f>
        <v>0</v>
      </c>
      <c r="F42" s="263"/>
      <c r="G42" s="260">
        <f>'YEAR 3'!AC251</f>
        <v>0</v>
      </c>
      <c r="H42" s="263"/>
      <c r="I42" s="256">
        <v>0</v>
      </c>
      <c r="J42" s="263"/>
      <c r="K42" s="258"/>
    </row>
    <row r="43" spans="2:11" ht="4.5" customHeight="1" thickBot="1" x14ac:dyDescent="0.35">
      <c r="B43" s="244"/>
      <c r="E43" s="259"/>
      <c r="F43" s="259"/>
      <c r="G43" s="259"/>
      <c r="H43" s="259"/>
      <c r="I43" s="259"/>
      <c r="J43" s="259"/>
      <c r="K43" s="258"/>
    </row>
    <row r="44" spans="2:11" ht="14.4" thickBot="1" x14ac:dyDescent="0.35">
      <c r="B44" s="246" t="s">
        <v>688</v>
      </c>
      <c r="C44" s="247" t="s">
        <v>689</v>
      </c>
      <c r="D44" s="247"/>
      <c r="E44" s="257">
        <f>ROUND(E42+E28,0)</f>
        <v>0</v>
      </c>
      <c r="F44" s="258"/>
      <c r="G44" s="257">
        <f>ROUND(G42+G28,0)</f>
        <v>0</v>
      </c>
      <c r="H44" s="258"/>
      <c r="I44" s="257">
        <f>ROUND(I42+I28,0)</f>
        <v>0</v>
      </c>
      <c r="J44" s="258"/>
      <c r="K44" s="257">
        <f>ROUND(E44+G44+I44,0)</f>
        <v>0</v>
      </c>
    </row>
    <row r="46" spans="2:11" x14ac:dyDescent="0.3">
      <c r="B46" s="252" t="s">
        <v>690</v>
      </c>
      <c r="C46" s="237" t="s">
        <v>691</v>
      </c>
    </row>
    <row r="55" spans="1:15" s="253" customFormat="1" x14ac:dyDescent="0.3">
      <c r="A55" s="253" t="s">
        <v>692</v>
      </c>
      <c r="E55" s="254"/>
      <c r="F55" s="254"/>
      <c r="G55" s="254"/>
      <c r="H55" s="254"/>
      <c r="I55" s="254"/>
      <c r="J55" s="254"/>
      <c r="K55" s="254"/>
      <c r="L55" s="253" t="s">
        <v>839</v>
      </c>
    </row>
    <row r="57" spans="1:15" x14ac:dyDescent="0.3">
      <c r="A57" s="252" t="s">
        <v>694</v>
      </c>
      <c r="B57" s="237" t="s">
        <v>695</v>
      </c>
      <c r="L57" s="237" t="s">
        <v>694</v>
      </c>
      <c r="M57" s="237" t="s">
        <v>695</v>
      </c>
      <c r="O57" s="237" t="s">
        <v>696</v>
      </c>
    </row>
    <row r="58" spans="1:15" x14ac:dyDescent="0.3">
      <c r="A58" s="252" t="s">
        <v>697</v>
      </c>
      <c r="B58" s="237" t="s">
        <v>698</v>
      </c>
      <c r="L58" s="237" t="s">
        <v>697</v>
      </c>
      <c r="M58" s="237" t="s">
        <v>698</v>
      </c>
      <c r="O58" s="237" t="s">
        <v>696</v>
      </c>
    </row>
    <row r="59" spans="1:15" x14ac:dyDescent="0.3">
      <c r="A59" s="252"/>
      <c r="B59" s="237">
        <v>1</v>
      </c>
      <c r="C59" s="237" t="s">
        <v>699</v>
      </c>
      <c r="L59" s="237" t="s">
        <v>700</v>
      </c>
      <c r="M59" s="237" t="s">
        <v>671</v>
      </c>
    </row>
    <row r="60" spans="1:15" x14ac:dyDescent="0.3">
      <c r="A60" s="252"/>
      <c r="B60" s="237">
        <v>2</v>
      </c>
      <c r="C60" s="237" t="s">
        <v>701</v>
      </c>
      <c r="L60" s="237" t="s">
        <v>702</v>
      </c>
      <c r="M60" s="237" t="s">
        <v>703</v>
      </c>
    </row>
    <row r="61" spans="1:15" x14ac:dyDescent="0.3">
      <c r="A61" s="252"/>
      <c r="B61" s="237">
        <v>3</v>
      </c>
      <c r="C61" s="237" t="s">
        <v>704</v>
      </c>
      <c r="L61" s="237">
        <v>1</v>
      </c>
      <c r="M61" s="237" t="s">
        <v>705</v>
      </c>
    </row>
    <row r="62" spans="1:15" x14ac:dyDescent="0.3">
      <c r="A62" s="252"/>
      <c r="B62" s="237">
        <v>4</v>
      </c>
      <c r="C62" s="237" t="s">
        <v>706</v>
      </c>
      <c r="L62" s="237">
        <v>2</v>
      </c>
      <c r="M62" s="237" t="s">
        <v>707</v>
      </c>
    </row>
    <row r="63" spans="1:15" x14ac:dyDescent="0.3">
      <c r="A63" s="252"/>
      <c r="B63" s="237">
        <v>5</v>
      </c>
      <c r="C63" s="237" t="s">
        <v>708</v>
      </c>
      <c r="L63" s="237" t="s">
        <v>709</v>
      </c>
      <c r="M63" s="237" t="s">
        <v>710</v>
      </c>
    </row>
    <row r="64" spans="1:15" x14ac:dyDescent="0.3">
      <c r="A64" s="252"/>
      <c r="B64" s="237">
        <v>6</v>
      </c>
      <c r="C64" s="237" t="s">
        <v>679</v>
      </c>
      <c r="L64" s="237">
        <v>1</v>
      </c>
      <c r="M64" s="237" t="s">
        <v>711</v>
      </c>
    </row>
    <row r="65" spans="1:13" x14ac:dyDescent="0.3">
      <c r="A65" s="252" t="s">
        <v>700</v>
      </c>
      <c r="B65" s="237" t="s">
        <v>712</v>
      </c>
      <c r="L65" s="237">
        <v>2</v>
      </c>
      <c r="M65" s="237" t="s">
        <v>713</v>
      </c>
    </row>
    <row r="66" spans="1:13" x14ac:dyDescent="0.3">
      <c r="A66" s="252" t="s">
        <v>702</v>
      </c>
      <c r="B66" s="237" t="s">
        <v>671</v>
      </c>
      <c r="L66" s="237">
        <v>3</v>
      </c>
      <c r="M66" s="237" t="s">
        <v>703</v>
      </c>
    </row>
    <row r="67" spans="1:13" x14ac:dyDescent="0.3">
      <c r="A67" s="252" t="s">
        <v>709</v>
      </c>
      <c r="B67" s="237" t="s">
        <v>703</v>
      </c>
      <c r="L67" s="237">
        <v>4</v>
      </c>
      <c r="M67" s="237" t="s">
        <v>714</v>
      </c>
    </row>
    <row r="68" spans="1:13" x14ac:dyDescent="0.3">
      <c r="A68" s="252"/>
      <c r="B68" s="237">
        <v>1</v>
      </c>
      <c r="C68" s="237" t="s">
        <v>715</v>
      </c>
      <c r="L68" s="237">
        <v>5</v>
      </c>
      <c r="M68" s="237" t="s">
        <v>679</v>
      </c>
    </row>
    <row r="69" spans="1:13" x14ac:dyDescent="0.3">
      <c r="A69" s="252"/>
      <c r="B69" s="237">
        <v>2</v>
      </c>
      <c r="C69" s="237" t="s">
        <v>716</v>
      </c>
      <c r="L69" s="237" t="s">
        <v>717</v>
      </c>
      <c r="M69" s="237" t="s">
        <v>718</v>
      </c>
    </row>
    <row r="70" spans="1:13" x14ac:dyDescent="0.3">
      <c r="A70" s="252" t="s">
        <v>717</v>
      </c>
      <c r="B70" s="237" t="s">
        <v>719</v>
      </c>
      <c r="L70" s="237">
        <v>1</v>
      </c>
      <c r="M70" s="237" t="s">
        <v>720</v>
      </c>
    </row>
    <row r="71" spans="1:13" x14ac:dyDescent="0.3">
      <c r="A71" s="252"/>
      <c r="B71" s="237">
        <v>1</v>
      </c>
      <c r="C71" s="237" t="s">
        <v>713</v>
      </c>
      <c r="L71" s="237">
        <v>2</v>
      </c>
      <c r="M71" s="237" t="s">
        <v>721</v>
      </c>
    </row>
    <row r="72" spans="1:13" x14ac:dyDescent="0.3">
      <c r="A72" s="252"/>
      <c r="B72" s="237">
        <v>2</v>
      </c>
      <c r="C72" s="237" t="s">
        <v>703</v>
      </c>
      <c r="L72" s="237">
        <v>3</v>
      </c>
      <c r="M72" s="237" t="s">
        <v>722</v>
      </c>
    </row>
    <row r="73" spans="1:13" x14ac:dyDescent="0.3">
      <c r="A73" s="252"/>
      <c r="B73" s="237">
        <v>3</v>
      </c>
      <c r="C73" s="237" t="s">
        <v>714</v>
      </c>
      <c r="L73" s="237">
        <v>4</v>
      </c>
      <c r="M73" s="237" t="s">
        <v>723</v>
      </c>
    </row>
    <row r="74" spans="1:13" x14ac:dyDescent="0.3">
      <c r="A74" s="252"/>
      <c r="B74" s="237">
        <v>4</v>
      </c>
      <c r="C74" s="237" t="s">
        <v>679</v>
      </c>
      <c r="L74" s="237">
        <v>5</v>
      </c>
      <c r="M74" s="237" t="s">
        <v>724</v>
      </c>
    </row>
    <row r="75" spans="1:13" x14ac:dyDescent="0.3">
      <c r="A75" s="252" t="s">
        <v>725</v>
      </c>
      <c r="B75" s="237" t="s">
        <v>718</v>
      </c>
      <c r="L75" s="237">
        <v>6</v>
      </c>
      <c r="M75" s="237" t="s">
        <v>726</v>
      </c>
    </row>
    <row r="76" spans="1:13" x14ac:dyDescent="0.3">
      <c r="A76" s="252"/>
      <c r="B76" s="237">
        <v>1</v>
      </c>
      <c r="C76" s="237" t="s">
        <v>720</v>
      </c>
      <c r="L76" s="237">
        <v>7</v>
      </c>
      <c r="M76" s="237" t="s">
        <v>727</v>
      </c>
    </row>
    <row r="77" spans="1:13" x14ac:dyDescent="0.3">
      <c r="A77" s="252"/>
      <c r="B77" s="237">
        <v>2</v>
      </c>
      <c r="C77" s="237" t="s">
        <v>728</v>
      </c>
      <c r="L77" s="237">
        <v>8</v>
      </c>
      <c r="M77" s="237" t="s">
        <v>679</v>
      </c>
    </row>
    <row r="78" spans="1:13" x14ac:dyDescent="0.3">
      <c r="A78" s="252"/>
      <c r="B78" s="237">
        <v>3</v>
      </c>
      <c r="C78" s="237" t="s">
        <v>722</v>
      </c>
      <c r="L78" s="237" t="s">
        <v>725</v>
      </c>
      <c r="M78" s="237" t="s">
        <v>729</v>
      </c>
    </row>
    <row r="79" spans="1:13" x14ac:dyDescent="0.3">
      <c r="A79" s="252"/>
      <c r="B79" s="237">
        <v>4</v>
      </c>
      <c r="C79" s="237" t="s">
        <v>730</v>
      </c>
      <c r="L79" s="237" t="s">
        <v>731</v>
      </c>
      <c r="M79" s="237" t="s">
        <v>683</v>
      </c>
    </row>
    <row r="80" spans="1:13" x14ac:dyDescent="0.3">
      <c r="A80" s="252"/>
      <c r="B80" s="237">
        <v>5</v>
      </c>
      <c r="C80" s="237" t="s">
        <v>732</v>
      </c>
      <c r="L80" s="237" t="s">
        <v>733</v>
      </c>
      <c r="M80" s="237" t="s">
        <v>734</v>
      </c>
    </row>
    <row r="81" spans="1:13" x14ac:dyDescent="0.3">
      <c r="A81" s="252"/>
      <c r="B81" s="237">
        <v>6</v>
      </c>
      <c r="C81" s="237" t="s">
        <v>679</v>
      </c>
      <c r="L81" s="237" t="s">
        <v>735</v>
      </c>
      <c r="M81" s="237" t="s">
        <v>736</v>
      </c>
    </row>
    <row r="82" spans="1:13" x14ac:dyDescent="0.3">
      <c r="A82" s="252" t="s">
        <v>731</v>
      </c>
      <c r="B82" s="237" t="s">
        <v>685</v>
      </c>
      <c r="L82" s="237" t="s">
        <v>737</v>
      </c>
      <c r="M82" s="237" t="s">
        <v>738</v>
      </c>
    </row>
    <row r="83" spans="1:13" x14ac:dyDescent="0.3">
      <c r="A83" s="252" t="s">
        <v>733</v>
      </c>
      <c r="B83" s="237" t="s">
        <v>683</v>
      </c>
    </row>
    <row r="84" spans="1:13" x14ac:dyDescent="0.3">
      <c r="A84" s="252" t="s">
        <v>739</v>
      </c>
      <c r="B84" s="237" t="s">
        <v>740</v>
      </c>
    </row>
    <row r="85" spans="1:13" x14ac:dyDescent="0.3">
      <c r="A85" s="252" t="s">
        <v>737</v>
      </c>
      <c r="B85" s="237" t="s">
        <v>741</v>
      </c>
    </row>
    <row r="86" spans="1:13" x14ac:dyDescent="0.3">
      <c r="A86" s="252" t="s">
        <v>742</v>
      </c>
      <c r="B86" s="237" t="s">
        <v>743</v>
      </c>
    </row>
    <row r="87" spans="1:13" x14ac:dyDescent="0.3">
      <c r="A87" s="252" t="s">
        <v>744</v>
      </c>
      <c r="B87" s="237" t="s">
        <v>745</v>
      </c>
    </row>
  </sheetData>
  <mergeCells count="8">
    <mergeCell ref="B8:K8"/>
    <mergeCell ref="E9:K9"/>
    <mergeCell ref="C1:L1"/>
    <mergeCell ref="C2:L2"/>
    <mergeCell ref="C3:K3"/>
    <mergeCell ref="B5:K5"/>
    <mergeCell ref="B6:K6"/>
    <mergeCell ref="B7:K7"/>
  </mergeCells>
  <conditionalFormatting sqref="M28">
    <cfRule type="expression" dxfId="264"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pageSetUpPr fitToPage="1"/>
  </sheetPr>
  <dimension ref="A2:BP260"/>
  <sheetViews>
    <sheetView zoomScaleNormal="100" workbookViewId="0">
      <selection activeCell="D131" sqref="D131"/>
    </sheetView>
  </sheetViews>
  <sheetFormatPr defaultColWidth="11" defaultRowHeight="13.8" x14ac:dyDescent="0.3"/>
  <cols>
    <col min="1" max="1" width="2.6640625" style="106" bestFit="1" customWidth="1"/>
    <col min="2" max="2" width="3.77734375" style="106" customWidth="1"/>
    <col min="3" max="3" width="7.33203125" style="106" customWidth="1"/>
    <col min="4" max="4" width="29.44140625" style="106" customWidth="1"/>
    <col min="5" max="5" width="0.88671875" style="106" customWidth="1"/>
    <col min="6" max="6" width="10" style="107" customWidth="1"/>
    <col min="7" max="7" width="0.44140625" style="107" customWidth="1"/>
    <col min="8" max="8" width="5.33203125" style="106" customWidth="1"/>
    <col min="9" max="9" width="0.88671875" style="106" customWidth="1"/>
    <col min="10" max="10" width="7.109375" style="106" customWidth="1"/>
    <col min="11" max="11" width="0.44140625" style="106" customWidth="1"/>
    <col min="12" max="12" width="5" style="106" customWidth="1"/>
    <col min="13" max="13" width="1" style="106" customWidth="1"/>
    <col min="14" max="14" width="6.21875" style="106" customWidth="1"/>
    <col min="15" max="15" width="2" style="106" customWidth="1"/>
    <col min="16" max="16" width="3.33203125" style="180" customWidth="1"/>
    <col min="17" max="17" width="7.88671875" style="180" customWidth="1"/>
    <col min="18" max="18" width="1" style="106" customWidth="1"/>
    <col min="19" max="20" width="1" style="106" hidden="1" customWidth="1"/>
    <col min="21" max="21" width="4.44140625" style="106" hidden="1" customWidth="1"/>
    <col min="22" max="22" width="0.88671875" style="106" hidden="1" customWidth="1"/>
    <col min="23" max="23" width="5.109375" style="106" hidden="1" customWidth="1"/>
    <col min="24" max="24" width="0.44140625" style="106" hidden="1" customWidth="1"/>
    <col min="25" max="25" width="4.44140625" style="106" hidden="1" customWidth="1"/>
    <col min="26" max="26" width="1" style="106" hidden="1" customWidth="1"/>
    <col min="27" max="27" width="6.21875" style="106" hidden="1" customWidth="1"/>
    <col min="28" max="28" width="1.33203125" style="106" hidden="1" customWidth="1"/>
    <col min="29" max="29" width="3.33203125" style="180" hidden="1" customWidth="1"/>
    <col min="30" max="30" width="7.88671875" style="180" hidden="1" customWidth="1"/>
    <col min="31" max="33" width="1" style="106" hidden="1" customWidth="1"/>
    <col min="34" max="34" width="8" style="106" hidden="1" customWidth="1"/>
    <col min="35" max="35" width="0.88671875" style="106" hidden="1" customWidth="1"/>
    <col min="36" max="36" width="6.33203125" style="106" hidden="1" customWidth="1"/>
    <col min="37" max="37" width="0.44140625" style="106" hidden="1" customWidth="1"/>
    <col min="38" max="38" width="7" style="106" hidden="1" customWidth="1"/>
    <col min="39" max="39" width="1" style="106" hidden="1" customWidth="1"/>
    <col min="40" max="40" width="6.21875" style="106" hidden="1" customWidth="1"/>
    <col min="41" max="41" width="1.33203125" style="106" hidden="1" customWidth="1"/>
    <col min="42" max="42" width="3.33203125" style="113" hidden="1" customWidth="1"/>
    <col min="43" max="43" width="10.21875" style="113" hidden="1" customWidth="1"/>
    <col min="44" max="44" width="1.33203125" style="106" customWidth="1"/>
    <col min="45" max="45" width="7.109375" style="106" customWidth="1"/>
    <col min="46" max="46" width="1.109375" style="106" customWidth="1"/>
    <col min="47" max="47" width="7.33203125" style="106" customWidth="1"/>
    <col min="48" max="48" width="1.6640625" style="106" hidden="1" customWidth="1"/>
    <col min="49" max="49" width="8.88671875" style="107" hidden="1" customWidth="1"/>
    <col min="50" max="50" width="1.21875" style="106" hidden="1" customWidth="1"/>
    <col min="51" max="51" width="9.109375" style="107" hidden="1" customWidth="1"/>
    <col min="52" max="52" width="1.33203125" style="106" hidden="1" customWidth="1"/>
    <col min="53" max="53" width="7.44140625" style="108" hidden="1" customWidth="1"/>
    <col min="54" max="54" width="4.21875" style="106" hidden="1" customWidth="1"/>
    <col min="55" max="55" width="8.77734375" style="107" hidden="1" customWidth="1"/>
    <col min="56" max="56" width="1.109375" style="106" hidden="1" customWidth="1"/>
    <col min="57" max="57" width="11" style="106" hidden="1" customWidth="1"/>
    <col min="58" max="58" width="1.44140625" style="106" hidden="1" customWidth="1"/>
    <col min="59" max="59" width="11" style="109" hidden="1" customWidth="1"/>
    <col min="60" max="60" width="1.6640625" style="106" hidden="1" customWidth="1"/>
    <col min="61" max="61" width="11" style="106" customWidth="1"/>
    <col min="62" max="62" width="1.33203125" style="106" hidden="1" customWidth="1"/>
    <col min="63" max="68" width="11" style="106" hidden="1" customWidth="1"/>
    <col min="69" max="69" width="0" style="106" hidden="1" customWidth="1"/>
    <col min="70" max="16384" width="11" style="106"/>
  </cols>
  <sheetData>
    <row r="2" spans="1:59" ht="21" x14ac:dyDescent="0.4">
      <c r="D2" s="745" t="s">
        <v>781</v>
      </c>
      <c r="E2" s="745"/>
      <c r="F2" s="745"/>
      <c r="G2" s="745"/>
      <c r="H2" s="745"/>
      <c r="I2" s="745"/>
      <c r="J2" s="745"/>
      <c r="K2" s="745"/>
      <c r="L2" s="745"/>
      <c r="M2" s="745"/>
      <c r="N2" s="745"/>
      <c r="O2" s="745"/>
      <c r="P2" s="745"/>
      <c r="Q2" s="745"/>
      <c r="R2" s="745"/>
      <c r="S2" s="745"/>
      <c r="T2" s="745"/>
      <c r="U2" s="745"/>
      <c r="V2" s="745"/>
      <c r="W2" s="745"/>
      <c r="X2" s="745"/>
      <c r="Y2" s="745"/>
      <c r="Z2" s="747"/>
      <c r="AA2" s="747"/>
      <c r="AB2" s="747"/>
      <c r="AC2" s="747"/>
      <c r="AD2" s="747"/>
      <c r="AE2" s="747"/>
      <c r="AF2" s="747"/>
      <c r="AG2" s="747"/>
      <c r="AH2" s="747"/>
      <c r="AI2" s="747"/>
      <c r="AJ2" s="747"/>
      <c r="AK2" s="747"/>
      <c r="AL2" s="747"/>
      <c r="AM2" s="747"/>
      <c r="AN2" s="747"/>
      <c r="AO2" s="747"/>
      <c r="AP2" s="747"/>
      <c r="AQ2" s="747"/>
      <c r="AR2" s="747"/>
    </row>
    <row r="3" spans="1:59" hidden="1" x14ac:dyDescent="0.3"/>
    <row r="4" spans="1:59" ht="29.25" customHeight="1" x14ac:dyDescent="0.3">
      <c r="D4" s="749">
        <f>Title</f>
        <v>0</v>
      </c>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W4" s="107" t="s">
        <v>782</v>
      </c>
      <c r="AY4" s="107" t="s">
        <v>783</v>
      </c>
      <c r="BA4" s="108" t="s">
        <v>784</v>
      </c>
      <c r="BC4" s="107" t="str">
        <f>AW4</f>
        <v>Grant</v>
      </c>
      <c r="BE4" s="107" t="str">
        <f>AY4</f>
        <v>Match</v>
      </c>
      <c r="BG4" s="108" t="str">
        <f>BA4</f>
        <v>Total</v>
      </c>
    </row>
    <row r="5" spans="1:59" x14ac:dyDescent="0.3">
      <c r="D5" s="751" t="str">
        <f>"Year Four:  "&amp;TEXT(YR4Start,"mmmm dd, yyyy")&amp;" - "&amp;TEXT(YR4End,"mmmm dd, yyyy")</f>
        <v>Year Four:  December 31, 1902 - December 30, 1903</v>
      </c>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row>
    <row r="6" spans="1:59" s="467" customFormat="1" ht="3" customHeight="1" x14ac:dyDescent="0.3">
      <c r="D6" s="468"/>
      <c r="E6" s="468"/>
      <c r="F6" s="477"/>
      <c r="G6" s="477"/>
      <c r="H6" s="468"/>
      <c r="I6" s="468"/>
      <c r="J6" s="468"/>
      <c r="K6" s="468"/>
      <c r="L6" s="468"/>
      <c r="M6" s="468"/>
      <c r="N6" s="468"/>
      <c r="O6" s="468"/>
      <c r="P6" s="469"/>
      <c r="Q6" s="469"/>
      <c r="U6" s="468"/>
      <c r="V6" s="468"/>
      <c r="W6" s="468"/>
      <c r="X6" s="468"/>
      <c r="Y6" s="468"/>
      <c r="Z6" s="468"/>
      <c r="AA6" s="468"/>
      <c r="AC6" s="469"/>
      <c r="AD6" s="469"/>
      <c r="AH6" s="468"/>
      <c r="AI6" s="468"/>
      <c r="AJ6" s="468"/>
      <c r="AK6" s="468"/>
      <c r="AL6" s="468"/>
      <c r="AM6" s="468"/>
      <c r="AN6" s="468"/>
      <c r="AP6" s="478"/>
      <c r="AQ6" s="478"/>
      <c r="AW6" s="470"/>
      <c r="AY6" s="470"/>
      <c r="BA6" s="471"/>
      <c r="BC6" s="470"/>
      <c r="BG6" s="476"/>
    </row>
    <row r="7" spans="1:59" ht="3" customHeight="1" x14ac:dyDescent="0.3">
      <c r="B7" s="21"/>
      <c r="C7" s="21"/>
      <c r="D7" s="21"/>
      <c r="E7" s="21"/>
      <c r="F7" s="21"/>
      <c r="G7" s="21"/>
      <c r="H7" s="21"/>
      <c r="I7" s="21"/>
      <c r="J7" s="21"/>
      <c r="K7" s="21"/>
      <c r="L7" s="21"/>
      <c r="M7" s="21"/>
      <c r="N7" s="21"/>
      <c r="O7" s="21"/>
      <c r="P7" s="41"/>
      <c r="T7" s="317"/>
      <c r="U7" s="345"/>
      <c r="V7" s="345"/>
      <c r="W7" s="345"/>
      <c r="X7" s="345"/>
      <c r="Y7" s="345"/>
      <c r="Z7" s="345"/>
      <c r="AA7" s="345"/>
      <c r="AB7" s="155"/>
      <c r="AC7" s="501"/>
      <c r="AD7" s="501"/>
      <c r="AE7" s="318"/>
      <c r="AH7" s="112"/>
      <c r="AI7" s="112"/>
      <c r="AJ7" s="112"/>
      <c r="AK7" s="112"/>
      <c r="AL7" s="112"/>
      <c r="AM7" s="112"/>
      <c r="AN7" s="112"/>
    </row>
    <row r="8" spans="1:59" x14ac:dyDescent="0.3">
      <c r="H8" s="756" t="s">
        <v>180</v>
      </c>
      <c r="I8" s="756"/>
      <c r="J8" s="756"/>
      <c r="K8" s="756"/>
      <c r="L8" s="756"/>
      <c r="M8" s="756"/>
      <c r="N8" s="756"/>
      <c r="O8" s="756"/>
      <c r="P8" s="756"/>
      <c r="Q8" s="756"/>
      <c r="R8" s="109"/>
      <c r="S8" s="109"/>
      <c r="T8" s="319"/>
      <c r="U8" s="758" t="s">
        <v>182</v>
      </c>
      <c r="V8" s="758"/>
      <c r="W8" s="758"/>
      <c r="X8" s="758"/>
      <c r="Y8" s="758"/>
      <c r="Z8" s="758"/>
      <c r="AA8" s="758"/>
      <c r="AB8" s="758"/>
      <c r="AC8" s="758"/>
      <c r="AD8" s="758"/>
      <c r="AE8" s="320"/>
      <c r="AF8" s="109"/>
      <c r="AG8" s="109"/>
      <c r="AH8" s="760" t="s">
        <v>785</v>
      </c>
      <c r="AI8" s="760"/>
      <c r="AJ8" s="760"/>
      <c r="AK8" s="760"/>
      <c r="AL8" s="760"/>
      <c r="AM8" s="760"/>
      <c r="AN8" s="760"/>
      <c r="AO8" s="760"/>
      <c r="AP8" s="760"/>
      <c r="AQ8" s="760"/>
    </row>
    <row r="9" spans="1:59" ht="12" customHeight="1" x14ac:dyDescent="0.4">
      <c r="H9" s="757" t="s">
        <v>786</v>
      </c>
      <c r="I9" s="757"/>
      <c r="J9" s="757"/>
      <c r="K9" s="757"/>
      <c r="L9" s="757"/>
      <c r="M9" s="757"/>
      <c r="N9" s="757"/>
      <c r="O9" s="757"/>
      <c r="P9" s="757"/>
      <c r="Q9" s="757"/>
      <c r="R9" s="114"/>
      <c r="S9" s="114"/>
      <c r="T9" s="346"/>
      <c r="U9" s="759" t="s">
        <v>787</v>
      </c>
      <c r="V9" s="759"/>
      <c r="W9" s="759"/>
      <c r="X9" s="759"/>
      <c r="Y9" s="759"/>
      <c r="Z9" s="759"/>
      <c r="AA9" s="759"/>
      <c r="AB9" s="759"/>
      <c r="AC9" s="759"/>
      <c r="AD9" s="759"/>
      <c r="AE9" s="322"/>
      <c r="AH9" s="760" t="s">
        <v>784</v>
      </c>
      <c r="AI9" s="760"/>
      <c r="AJ9" s="760"/>
      <c r="AK9" s="760"/>
      <c r="AL9" s="760"/>
      <c r="AM9" s="760"/>
      <c r="AN9" s="760"/>
      <c r="AO9" s="760"/>
      <c r="AP9" s="760"/>
      <c r="AQ9" s="760"/>
      <c r="AS9" s="778" t="s">
        <v>788</v>
      </c>
      <c r="AT9" s="779"/>
      <c r="AU9" s="780"/>
      <c r="AW9" s="766" t="s">
        <v>789</v>
      </c>
      <c r="AX9" s="766"/>
      <c r="AY9" s="766"/>
      <c r="AZ9" s="766"/>
      <c r="BA9" s="766"/>
      <c r="BB9" s="766"/>
      <c r="BC9" s="766"/>
      <c r="BD9" s="766"/>
      <c r="BE9" s="766"/>
      <c r="BF9" s="766"/>
      <c r="BG9" s="766"/>
    </row>
    <row r="10" spans="1:59" ht="3" customHeight="1" x14ac:dyDescent="0.3">
      <c r="H10" s="112"/>
      <c r="I10" s="112"/>
      <c r="J10" s="112"/>
      <c r="K10" s="112"/>
      <c r="L10" s="112"/>
      <c r="M10" s="112"/>
      <c r="N10" s="112"/>
      <c r="T10" s="323"/>
      <c r="U10" s="112"/>
      <c r="V10" s="112"/>
      <c r="W10" s="112"/>
      <c r="X10" s="112"/>
      <c r="Y10" s="112"/>
      <c r="Z10" s="112"/>
      <c r="AA10" s="112"/>
      <c r="AE10" s="322"/>
      <c r="AH10" s="112"/>
      <c r="AI10" s="112"/>
      <c r="AJ10" s="112"/>
      <c r="AK10" s="112"/>
      <c r="AL10" s="112"/>
      <c r="AM10" s="112"/>
      <c r="AN10" s="112"/>
      <c r="AS10" s="518"/>
      <c r="AU10" s="322"/>
    </row>
    <row r="11" spans="1:59" ht="36" customHeight="1" x14ac:dyDescent="0.35">
      <c r="D11" s="115"/>
      <c r="E11" s="115"/>
      <c r="F11" s="147" t="s">
        <v>790</v>
      </c>
      <c r="G11" s="394"/>
      <c r="H11" s="148" t="s">
        <v>150</v>
      </c>
      <c r="I11" s="114"/>
      <c r="J11" s="148" t="s">
        <v>791</v>
      </c>
      <c r="K11" s="114"/>
      <c r="L11" s="148" t="s">
        <v>792</v>
      </c>
      <c r="M11" s="114"/>
      <c r="N11" s="148" t="s">
        <v>791</v>
      </c>
      <c r="O11" s="114"/>
      <c r="P11" s="741" t="s">
        <v>793</v>
      </c>
      <c r="Q11" s="741"/>
      <c r="R11" s="149"/>
      <c r="S11" s="149"/>
      <c r="T11" s="321"/>
      <c r="U11" s="148" t="str">
        <f>H11</f>
        <v>Acad</v>
      </c>
      <c r="V11" s="114"/>
      <c r="W11" s="148" t="str">
        <f>J11</f>
        <v>% Effort</v>
      </c>
      <c r="X11" s="114"/>
      <c r="Y11" s="148" t="str">
        <f>L11</f>
        <v>Sumr</v>
      </c>
      <c r="Z11" s="114"/>
      <c r="AA11" s="148" t="str">
        <f>N11</f>
        <v>% Effort</v>
      </c>
      <c r="AB11" s="149"/>
      <c r="AC11" s="767" t="str">
        <f>P11</f>
        <v>Requested Salary/Fringe</v>
      </c>
      <c r="AD11" s="767">
        <f>Q11</f>
        <v>0</v>
      </c>
      <c r="AE11" s="324"/>
      <c r="AF11" s="149"/>
      <c r="AG11" s="149"/>
      <c r="AH11" s="148" t="str">
        <f>H11</f>
        <v>Acad</v>
      </c>
      <c r="AI11" s="114"/>
      <c r="AJ11" s="148" t="str">
        <f>J11</f>
        <v>% Effort</v>
      </c>
      <c r="AK11" s="114"/>
      <c r="AL11" s="148" t="str">
        <f>L11</f>
        <v>Sumr</v>
      </c>
      <c r="AM11" s="114"/>
      <c r="AN11" s="148" t="str">
        <f>N11</f>
        <v>% Effort</v>
      </c>
      <c r="AO11" s="149"/>
      <c r="AP11" s="784" t="str">
        <f>AC11</f>
        <v>Requested Salary/Fringe</v>
      </c>
      <c r="AQ11" s="784">
        <f>AD11</f>
        <v>0</v>
      </c>
      <c r="AS11" s="521" t="s">
        <v>794</v>
      </c>
      <c r="AT11" s="522"/>
      <c r="AU11" s="523" t="s">
        <v>795</v>
      </c>
      <c r="AW11" s="740" t="s">
        <v>796</v>
      </c>
      <c r="AX11" s="740"/>
      <c r="AY11" s="740"/>
      <c r="AZ11" s="740"/>
      <c r="BA11" s="740"/>
      <c r="BC11" s="740" t="s">
        <v>712</v>
      </c>
      <c r="BD11" s="740"/>
      <c r="BE11" s="740"/>
      <c r="BF11" s="740"/>
      <c r="BG11" s="740"/>
    </row>
    <row r="12" spans="1:59" x14ac:dyDescent="0.3">
      <c r="A12" s="118" t="s">
        <v>180</v>
      </c>
      <c r="B12" s="109" t="s">
        <v>797</v>
      </c>
      <c r="D12" s="115"/>
      <c r="E12" s="115"/>
      <c r="F12" s="116"/>
      <c r="G12" s="116"/>
      <c r="H12" s="117"/>
      <c r="I12" s="117"/>
      <c r="J12" s="117"/>
      <c r="K12" s="117"/>
      <c r="L12" s="117"/>
      <c r="M12" s="117"/>
      <c r="N12" s="117"/>
      <c r="O12" s="119"/>
      <c r="T12" s="323"/>
      <c r="U12" s="117"/>
      <c r="V12" s="117"/>
      <c r="W12" s="117"/>
      <c r="X12" s="117"/>
      <c r="Y12" s="117"/>
      <c r="Z12" s="117"/>
      <c r="AA12" s="117"/>
      <c r="AE12" s="322"/>
      <c r="AH12" s="117"/>
      <c r="AI12" s="117"/>
      <c r="AJ12" s="117"/>
      <c r="AK12" s="117"/>
      <c r="AL12" s="117"/>
      <c r="AM12" s="117"/>
      <c r="AN12" s="117"/>
      <c r="AS12" s="323"/>
      <c r="AU12" s="322"/>
    </row>
    <row r="13" spans="1:59" ht="14.25" customHeight="1" x14ac:dyDescent="0.3">
      <c r="B13" s="113"/>
      <c r="C13" s="125" t="str">
        <f>"PI ~ "</f>
        <v xml:space="preserve">PI ~ </v>
      </c>
      <c r="D13" s="21">
        <f>PI</f>
        <v>0</v>
      </c>
      <c r="F13" s="120">
        <f>ROUND((VLOOKUP(D13,Salaries!$A$3:$I$370,8,FALSE))*(1+COLA/100)*(1+COLA/100)*(1+COLA/100),0)</f>
        <v>0</v>
      </c>
      <c r="H13" s="385"/>
      <c r="I13" s="306"/>
      <c r="J13" s="307"/>
      <c r="K13" s="307"/>
      <c r="L13" s="385"/>
      <c r="M13" s="305"/>
      <c r="N13" s="307">
        <v>1</v>
      </c>
      <c r="O13" s="146"/>
      <c r="P13" s="739">
        <f>ROUND(F13/12*H13*J13+F13/12*L13*N13, 0)</f>
        <v>0</v>
      </c>
      <c r="Q13" s="739"/>
      <c r="T13" s="323"/>
      <c r="U13" s="385"/>
      <c r="V13" s="306"/>
      <c r="W13" s="307"/>
      <c r="X13" s="307"/>
      <c r="Y13" s="385"/>
      <c r="Z13" s="305"/>
      <c r="AA13" s="307"/>
      <c r="AC13" s="739">
        <f>ROUND((F13/12*U13*W13)+(F13/12*Y13*AA13),0)</f>
        <v>0</v>
      </c>
      <c r="AD13" s="739"/>
      <c r="AE13" s="322"/>
      <c r="AH13" s="150">
        <f>U13+H13</f>
        <v>0</v>
      </c>
      <c r="AI13" s="150"/>
      <c r="AJ13" s="151">
        <f>W13+J13</f>
        <v>0</v>
      </c>
      <c r="AK13" s="152"/>
      <c r="AL13" s="150">
        <f>Y13+L13</f>
        <v>0</v>
      </c>
      <c r="AM13" s="150"/>
      <c r="AN13" s="151">
        <f>AA13+N13</f>
        <v>1</v>
      </c>
      <c r="AO13" s="109"/>
      <c r="AP13" s="765">
        <f>ROUND(SUM(P13:Q14)+SUM(AC13:AD14),0)</f>
        <v>0</v>
      </c>
      <c r="AQ13" s="765"/>
      <c r="AS13" s="323"/>
      <c r="AU13" s="322"/>
      <c r="AW13" s="107">
        <f>Q13</f>
        <v>0</v>
      </c>
      <c r="AY13" s="107">
        <f>ROUND(AC13,0)</f>
        <v>0</v>
      </c>
      <c r="BA13" s="108">
        <f>ROUND(AY13+AW13,0)</f>
        <v>0</v>
      </c>
    </row>
    <row r="14" spans="1:59" x14ac:dyDescent="0.3">
      <c r="B14" s="119"/>
      <c r="C14" s="115"/>
      <c r="D14" s="106" t="str">
        <f>"Fringe @ "&amp;TEXT(FRINGE,"0.00%")</f>
        <v>Fringe @ 27.27%</v>
      </c>
      <c r="H14" s="121"/>
      <c r="I14" s="121"/>
      <c r="J14" s="121"/>
      <c r="K14" s="121"/>
      <c r="L14" s="121"/>
      <c r="M14" s="121"/>
      <c r="N14" s="121"/>
      <c r="O14" s="119"/>
      <c r="Q14" s="180">
        <f>ROUND(P13*FRINGE*(1+FrCOLA+FrCOLA+FrCOLA),0)</f>
        <v>0</v>
      </c>
      <c r="T14" s="323"/>
      <c r="U14" s="121"/>
      <c r="V14" s="121"/>
      <c r="W14" s="121"/>
      <c r="X14" s="121"/>
      <c r="Y14" s="121"/>
      <c r="Z14" s="121"/>
      <c r="AA14" s="121"/>
      <c r="AD14" s="180">
        <f>ROUND(AC13*FRINGE*(1+FrCOLA+FrCOLA+FrCOLA),0)</f>
        <v>0</v>
      </c>
      <c r="AE14" s="322"/>
      <c r="AH14" s="150"/>
      <c r="AI14" s="150"/>
      <c r="AJ14" s="150"/>
      <c r="AK14" s="152"/>
      <c r="AL14" s="150"/>
      <c r="AM14" s="150"/>
      <c r="AN14" s="150"/>
      <c r="AO14" s="109"/>
      <c r="AP14" s="765"/>
      <c r="AQ14" s="765"/>
      <c r="AS14" s="323"/>
      <c r="AU14" s="322"/>
      <c r="BC14" s="107">
        <f>ROUND(Q14,0)</f>
        <v>0</v>
      </c>
      <c r="BE14" s="107">
        <f>ROUND(AD14,0)</f>
        <v>0</v>
      </c>
      <c r="BG14" s="108">
        <f>ROUND(BE14+BC14,0)</f>
        <v>0</v>
      </c>
    </row>
    <row r="15" spans="1:59" ht="3" customHeight="1" x14ac:dyDescent="0.3">
      <c r="B15" s="119"/>
      <c r="C15" s="115"/>
      <c r="H15" s="121"/>
      <c r="I15" s="121"/>
      <c r="J15" s="121"/>
      <c r="K15" s="121"/>
      <c r="L15" s="121"/>
      <c r="M15" s="121"/>
      <c r="N15" s="121"/>
      <c r="O15" s="119"/>
      <c r="T15" s="323"/>
      <c r="U15" s="121"/>
      <c r="V15" s="121"/>
      <c r="W15" s="121"/>
      <c r="X15" s="121"/>
      <c r="Y15" s="121"/>
      <c r="Z15" s="121"/>
      <c r="AA15" s="121"/>
      <c r="AE15" s="322"/>
      <c r="AH15" s="150"/>
      <c r="AI15" s="150"/>
      <c r="AJ15" s="150"/>
      <c r="AK15" s="152"/>
      <c r="AL15" s="150"/>
      <c r="AM15" s="150"/>
      <c r="AN15" s="150"/>
      <c r="AO15" s="109"/>
      <c r="AP15" s="610"/>
      <c r="AQ15" s="610"/>
      <c r="AS15" s="323"/>
      <c r="AU15" s="322"/>
    </row>
    <row r="16" spans="1:59" ht="14.25" customHeight="1" x14ac:dyDescent="0.3">
      <c r="B16" s="113"/>
      <c r="C16" s="125" t="s">
        <v>798</v>
      </c>
      <c r="D16" s="21">
        <f>'YEAR 3'!D16</f>
        <v>0</v>
      </c>
      <c r="F16" s="120">
        <f>ROUND((VLOOKUP(D16,Salaries!$A$3:$I$370,8,FALSE))*(1+COLA/100)*(1+COLA/100)*(1+COLA/100),0)</f>
        <v>0</v>
      </c>
      <c r="H16" s="385"/>
      <c r="I16" s="306"/>
      <c r="J16" s="307"/>
      <c r="K16" s="307"/>
      <c r="L16" s="385"/>
      <c r="M16" s="305"/>
      <c r="N16" s="307"/>
      <c r="O16" s="146"/>
      <c r="P16" s="739">
        <f>ROUND(F16/12*H16*J16+F16/12*L16*N16, 0)</f>
        <v>0</v>
      </c>
      <c r="Q16" s="739"/>
      <c r="T16" s="323"/>
      <c r="U16" s="385"/>
      <c r="V16" s="306"/>
      <c r="W16" s="307"/>
      <c r="X16" s="307"/>
      <c r="Y16" s="385"/>
      <c r="Z16" s="305"/>
      <c r="AA16" s="307"/>
      <c r="AC16" s="739">
        <f>ROUND((F16/12*U16*W16)+(F16/12*Y16*AA16),0)</f>
        <v>0</v>
      </c>
      <c r="AD16" s="739"/>
      <c r="AE16" s="322"/>
      <c r="AH16" s="150">
        <f>U16+H16</f>
        <v>0</v>
      </c>
      <c r="AI16" s="150"/>
      <c r="AJ16" s="151">
        <f>W16+J16</f>
        <v>0</v>
      </c>
      <c r="AK16" s="152"/>
      <c r="AL16" s="150">
        <f>Y16+L16</f>
        <v>0</v>
      </c>
      <c r="AM16" s="150"/>
      <c r="AN16" s="151">
        <f>AA16+N16</f>
        <v>0</v>
      </c>
      <c r="AO16" s="109"/>
      <c r="AP16" s="765">
        <f>ROUND(SUM(P16:Q17)+SUM(AC16:AD17),0)</f>
        <v>0</v>
      </c>
      <c r="AQ16" s="765"/>
      <c r="AS16" s="323"/>
      <c r="AU16" s="322"/>
      <c r="AW16" s="107">
        <f>P16</f>
        <v>0</v>
      </c>
      <c r="AY16" s="107">
        <f>ROUND(AC16,0)</f>
        <v>0</v>
      </c>
      <c r="BA16" s="108">
        <f>ROUND(AY16+AW16,0)</f>
        <v>0</v>
      </c>
    </row>
    <row r="17" spans="3:59" ht="12.75" customHeight="1" x14ac:dyDescent="0.3">
      <c r="D17" s="106" t="str">
        <f>"Fringe @ "&amp;TEXT(FRINGE,"0.00%")</f>
        <v>Fringe @ 27.27%</v>
      </c>
      <c r="H17" s="121"/>
      <c r="I17" s="121"/>
      <c r="J17" s="121"/>
      <c r="K17" s="121"/>
      <c r="L17" s="121"/>
      <c r="M17" s="121"/>
      <c r="N17" s="121"/>
      <c r="O17" s="119"/>
      <c r="Q17" s="180">
        <f>ROUND(P16*FRINGE*(1+FrCOLA+FrCOLA+FrCOLA),0)</f>
        <v>0</v>
      </c>
      <c r="T17" s="323"/>
      <c r="U17" s="121"/>
      <c r="V17" s="121"/>
      <c r="W17" s="121"/>
      <c r="X17" s="121"/>
      <c r="Y17" s="121"/>
      <c r="Z17" s="121"/>
      <c r="AA17" s="121"/>
      <c r="AD17" s="180">
        <f>ROUND(AC16*FRINGE*(1+FrCOLA+FrCOLA+FrCOLA),0)</f>
        <v>0</v>
      </c>
      <c r="AE17" s="322"/>
      <c r="AH17" s="152"/>
      <c r="AI17" s="152"/>
      <c r="AJ17" s="152"/>
      <c r="AK17" s="152"/>
      <c r="AL17" s="150"/>
      <c r="AM17" s="150"/>
      <c r="AN17" s="150"/>
      <c r="AO17" s="109"/>
      <c r="AP17" s="765"/>
      <c r="AQ17" s="765"/>
      <c r="AS17" s="323"/>
      <c r="AU17" s="322"/>
      <c r="BC17" s="107">
        <f>ROUND(Q17,0)</f>
        <v>0</v>
      </c>
      <c r="BE17" s="107">
        <f>ROUND(AD17,0)</f>
        <v>0</v>
      </c>
      <c r="BG17" s="108">
        <f>ROUND(BE17+BC17,0)</f>
        <v>0</v>
      </c>
    </row>
    <row r="18" spans="3:59" ht="3" customHeight="1" x14ac:dyDescent="0.3">
      <c r="H18" s="121"/>
      <c r="I18" s="121"/>
      <c r="J18" s="121"/>
      <c r="K18" s="121"/>
      <c r="L18" s="121"/>
      <c r="M18" s="121"/>
      <c r="N18" s="121"/>
      <c r="O18" s="119"/>
      <c r="T18" s="323"/>
      <c r="U18" s="121"/>
      <c r="V18" s="121"/>
      <c r="W18" s="121"/>
      <c r="X18" s="121"/>
      <c r="Y18" s="121"/>
      <c r="Z18" s="121"/>
      <c r="AA18" s="121"/>
      <c r="AE18" s="322"/>
      <c r="AH18" s="152"/>
      <c r="AI18" s="152"/>
      <c r="AJ18" s="152"/>
      <c r="AK18" s="152"/>
      <c r="AL18" s="150"/>
      <c r="AM18" s="150"/>
      <c r="AN18" s="150"/>
      <c r="AO18" s="109"/>
      <c r="AS18" s="323"/>
      <c r="AU18" s="322"/>
    </row>
    <row r="19" spans="3:59" ht="14.25" customHeight="1" x14ac:dyDescent="0.3">
      <c r="C19" s="125" t="s">
        <v>798</v>
      </c>
      <c r="D19" s="21">
        <f>'YEAR 3'!D19</f>
        <v>0</v>
      </c>
      <c r="F19" s="120">
        <f>ROUND((VLOOKUP(D19,Salaries!$A$3:$I$370,8,FALSE))*(1+COLA/100)*(1+COLA/100)*(1+COLA/100),0)</f>
        <v>0</v>
      </c>
      <c r="H19" s="385"/>
      <c r="I19" s="306"/>
      <c r="J19" s="307"/>
      <c r="K19" s="307"/>
      <c r="L19" s="385"/>
      <c r="M19" s="305"/>
      <c r="N19" s="307"/>
      <c r="O19" s="146"/>
      <c r="P19" s="739">
        <f>ROUND(F19/12*H19*J19+F19/12*L19*N19, 0)</f>
        <v>0</v>
      </c>
      <c r="Q19" s="739"/>
      <c r="T19" s="323"/>
      <c r="U19" s="385"/>
      <c r="V19" s="306"/>
      <c r="W19" s="307"/>
      <c r="X19" s="307"/>
      <c r="Y19" s="385"/>
      <c r="Z19" s="305"/>
      <c r="AA19" s="307"/>
      <c r="AC19" s="739">
        <f>ROUND((F19/12*U19*W19)+(F19/12*Y19*AA19),0)</f>
        <v>0</v>
      </c>
      <c r="AD19" s="739"/>
      <c r="AE19" s="322"/>
      <c r="AH19" s="150">
        <f>U19+H19</f>
        <v>0</v>
      </c>
      <c r="AI19" s="150"/>
      <c r="AJ19" s="151">
        <f>W19+J19</f>
        <v>0</v>
      </c>
      <c r="AK19" s="152"/>
      <c r="AL19" s="150">
        <f>Y19+L19</f>
        <v>0</v>
      </c>
      <c r="AM19" s="150"/>
      <c r="AN19" s="151">
        <f>AA19+N19</f>
        <v>0</v>
      </c>
      <c r="AO19" s="109"/>
      <c r="AP19" s="765">
        <f>ROUND(SUM(P19:Q20)+SUM(AC19:AD20),0)</f>
        <v>0</v>
      </c>
      <c r="AQ19" s="765"/>
      <c r="AS19" s="323"/>
      <c r="AU19" s="322"/>
      <c r="AW19" s="107">
        <f>P19</f>
        <v>0</v>
      </c>
      <c r="AY19" s="107">
        <f>ROUND(AC19,0)</f>
        <v>0</v>
      </c>
      <c r="BA19" s="108">
        <f>ROUND(AY19+AW19,0)</f>
        <v>0</v>
      </c>
    </row>
    <row r="20" spans="3:59" ht="12.75" customHeight="1" x14ac:dyDescent="0.3">
      <c r="D20" s="106" t="str">
        <f>"Fringe @ "&amp;TEXT(FRINGE,"0.00%")</f>
        <v>Fringe @ 27.27%</v>
      </c>
      <c r="H20" s="121"/>
      <c r="I20" s="121"/>
      <c r="J20" s="121"/>
      <c r="K20" s="121"/>
      <c r="L20" s="121"/>
      <c r="M20" s="121"/>
      <c r="N20" s="121"/>
      <c r="O20" s="119"/>
      <c r="Q20" s="180">
        <f>ROUND(P19*FRINGE*(1+FrCOLA+FrCOLA+FrCOLA),0)</f>
        <v>0</v>
      </c>
      <c r="T20" s="323"/>
      <c r="U20" s="121"/>
      <c r="V20" s="121"/>
      <c r="W20" s="121"/>
      <c r="X20" s="121"/>
      <c r="Y20" s="121"/>
      <c r="Z20" s="121"/>
      <c r="AA20" s="121"/>
      <c r="AD20" s="180">
        <f>ROUND(AC19*FRINGE*(1+FrCOLA+FrCOLA+FrCOLA),0)</f>
        <v>0</v>
      </c>
      <c r="AE20" s="322"/>
      <c r="AH20" s="152"/>
      <c r="AI20" s="152"/>
      <c r="AJ20" s="152"/>
      <c r="AK20" s="152"/>
      <c r="AL20" s="150"/>
      <c r="AM20" s="150"/>
      <c r="AN20" s="150"/>
      <c r="AO20" s="109"/>
      <c r="AP20" s="765"/>
      <c r="AQ20" s="765"/>
      <c r="AS20" s="323"/>
      <c r="AU20" s="322"/>
      <c r="BC20" s="107">
        <f>ROUND(Q20,0)</f>
        <v>0</v>
      </c>
      <c r="BE20" s="107">
        <f>ROUND(AD20,0)</f>
        <v>0</v>
      </c>
      <c r="BG20" s="108">
        <f>ROUND(BE20+BC20,0)</f>
        <v>0</v>
      </c>
    </row>
    <row r="21" spans="3:59" ht="3" hidden="1" customHeight="1" x14ac:dyDescent="0.3">
      <c r="H21" s="121"/>
      <c r="I21" s="121"/>
      <c r="J21" s="121"/>
      <c r="K21" s="121"/>
      <c r="L21" s="121"/>
      <c r="M21" s="121"/>
      <c r="N21" s="121"/>
      <c r="O21" s="119"/>
      <c r="T21" s="323"/>
      <c r="U21" s="121"/>
      <c r="V21" s="121"/>
      <c r="W21" s="121"/>
      <c r="X21" s="121"/>
      <c r="Y21" s="121"/>
      <c r="Z21" s="121"/>
      <c r="AA21" s="121"/>
      <c r="AE21" s="322"/>
      <c r="AH21" s="152"/>
      <c r="AI21" s="152"/>
      <c r="AJ21" s="152"/>
      <c r="AK21" s="152"/>
      <c r="AL21" s="150"/>
      <c r="AM21" s="150"/>
      <c r="AN21" s="150"/>
      <c r="AO21" s="109"/>
      <c r="AS21" s="323"/>
      <c r="AU21" s="322"/>
    </row>
    <row r="22" spans="3:59" ht="14.25" hidden="1" customHeight="1" x14ac:dyDescent="0.3">
      <c r="C22" s="125" t="s">
        <v>798</v>
      </c>
      <c r="D22" s="21">
        <f>'YEAR 3'!D22</f>
        <v>0</v>
      </c>
      <c r="F22" s="120">
        <f>ROUND((VLOOKUP(D22,Salaries!$A$3:$I$370,8,FALSE))*(1+COLA/100)*(1+COLA/100)*(1+COLA/100),0)</f>
        <v>0</v>
      </c>
      <c r="H22" s="385"/>
      <c r="I22" s="306"/>
      <c r="J22" s="307"/>
      <c r="K22" s="307"/>
      <c r="L22" s="385"/>
      <c r="M22" s="305"/>
      <c r="N22" s="307"/>
      <c r="O22" s="146"/>
      <c r="P22" s="739">
        <f>ROUND(F22/12*H22*J22+F22/12*L22*N22, 0)</f>
        <v>0</v>
      </c>
      <c r="Q22" s="739"/>
      <c r="T22" s="323"/>
      <c r="U22" s="385"/>
      <c r="V22" s="306"/>
      <c r="W22" s="307"/>
      <c r="X22" s="307"/>
      <c r="Y22" s="385"/>
      <c r="Z22" s="305"/>
      <c r="AA22" s="307"/>
      <c r="AC22" s="739">
        <f>ROUND((F22/12*U22*W22)+(F22/12*Y22*AA22),0)</f>
        <v>0</v>
      </c>
      <c r="AD22" s="739"/>
      <c r="AE22" s="322"/>
      <c r="AH22" s="150">
        <f>U22+H22</f>
        <v>0</v>
      </c>
      <c r="AI22" s="150"/>
      <c r="AJ22" s="151">
        <f>W22+J22</f>
        <v>0</v>
      </c>
      <c r="AK22" s="152"/>
      <c r="AL22" s="150">
        <f>Y22+L22</f>
        <v>0</v>
      </c>
      <c r="AM22" s="150"/>
      <c r="AN22" s="151">
        <f>AA22+N22</f>
        <v>0</v>
      </c>
      <c r="AO22" s="109"/>
      <c r="AP22" s="765">
        <f>ROUND(SUM(P22:Q23)+SUM(AC22:AD23),0)</f>
        <v>0</v>
      </c>
      <c r="AQ22" s="765"/>
      <c r="AS22" s="323"/>
      <c r="AU22" s="322"/>
      <c r="AW22" s="107">
        <f>P22</f>
        <v>0</v>
      </c>
      <c r="AY22" s="107">
        <f>ROUND(AC22,0)</f>
        <v>0</v>
      </c>
      <c r="BA22" s="108">
        <f>ROUND(AY22+AW22,0)</f>
        <v>0</v>
      </c>
    </row>
    <row r="23" spans="3:59" ht="12.75" hidden="1" customHeight="1" x14ac:dyDescent="0.3">
      <c r="D23" s="106" t="str">
        <f>"Fringe @ "&amp;TEXT(FRINGE,"0.00%")</f>
        <v>Fringe @ 27.27%</v>
      </c>
      <c r="H23" s="121"/>
      <c r="I23" s="121"/>
      <c r="J23" s="121"/>
      <c r="K23" s="121"/>
      <c r="L23" s="121"/>
      <c r="M23" s="121"/>
      <c r="N23" s="121"/>
      <c r="O23" s="119"/>
      <c r="Q23" s="180">
        <f>ROUND(P22*FRINGE*(1+FrCOLA+FrCOLA+FrCOLA),0)</f>
        <v>0</v>
      </c>
      <c r="T23" s="323"/>
      <c r="U23" s="121"/>
      <c r="V23" s="121"/>
      <c r="W23" s="121"/>
      <c r="X23" s="121"/>
      <c r="Y23" s="121"/>
      <c r="Z23" s="121"/>
      <c r="AA23" s="121"/>
      <c r="AD23" s="180">
        <f>ROUND(AC22*FRINGE*(1+FrCOLA+FrCOLA+FrCOLA),0)</f>
        <v>0</v>
      </c>
      <c r="AE23" s="322"/>
      <c r="AH23" s="152"/>
      <c r="AI23" s="152"/>
      <c r="AJ23" s="152"/>
      <c r="AK23" s="152"/>
      <c r="AL23" s="150"/>
      <c r="AM23" s="150"/>
      <c r="AN23" s="150"/>
      <c r="AO23" s="109"/>
      <c r="AP23" s="765"/>
      <c r="AQ23" s="765"/>
      <c r="AS23" s="323"/>
      <c r="AU23" s="322"/>
      <c r="BC23" s="107">
        <f>ROUND(Q23,0)</f>
        <v>0</v>
      </c>
      <c r="BE23" s="107">
        <f>ROUND(AD23,0)</f>
        <v>0</v>
      </c>
      <c r="BG23" s="108">
        <f>ROUND(BE23+BC23,0)</f>
        <v>0</v>
      </c>
    </row>
    <row r="24" spans="3:59" ht="3" hidden="1" customHeight="1" x14ac:dyDescent="0.3">
      <c r="H24" s="121"/>
      <c r="I24" s="121"/>
      <c r="J24" s="121"/>
      <c r="K24" s="121"/>
      <c r="L24" s="121"/>
      <c r="M24" s="121"/>
      <c r="N24" s="121"/>
      <c r="O24" s="119"/>
      <c r="T24" s="323"/>
      <c r="U24" s="121"/>
      <c r="V24" s="121"/>
      <c r="W24" s="121"/>
      <c r="X24" s="121"/>
      <c r="Y24" s="121"/>
      <c r="Z24" s="121"/>
      <c r="AA24" s="121"/>
      <c r="AE24" s="322"/>
      <c r="AH24" s="152"/>
      <c r="AI24" s="152"/>
      <c r="AJ24" s="152"/>
      <c r="AK24" s="152"/>
      <c r="AL24" s="150"/>
      <c r="AM24" s="150"/>
      <c r="AN24" s="150"/>
      <c r="AO24" s="109"/>
      <c r="AP24" s="608"/>
      <c r="AQ24" s="608"/>
      <c r="AS24" s="323"/>
      <c r="AU24" s="322"/>
      <c r="BE24" s="107"/>
      <c r="BG24" s="108"/>
    </row>
    <row r="25" spans="3:59" ht="14.25" hidden="1" customHeight="1" x14ac:dyDescent="0.3">
      <c r="C25" s="125" t="s">
        <v>798</v>
      </c>
      <c r="D25" s="21">
        <f>'YEAR 3'!D25</f>
        <v>0</v>
      </c>
      <c r="F25" s="120">
        <f>ROUND((VLOOKUP(D25,Salaries!$A$3:$I$370,8,FALSE))*(1+COLA/100)*(1+COLA/100)*(1+COLA/100),0)</f>
        <v>0</v>
      </c>
      <c r="H25" s="385"/>
      <c r="I25" s="306"/>
      <c r="J25" s="307"/>
      <c r="K25" s="307"/>
      <c r="L25" s="385"/>
      <c r="M25" s="305"/>
      <c r="N25" s="307"/>
      <c r="O25" s="146"/>
      <c r="P25" s="739">
        <f>ROUND(F25/12*H25*J25+F25/12*L25*N25, 0)</f>
        <v>0</v>
      </c>
      <c r="Q25" s="739"/>
      <c r="T25" s="323"/>
      <c r="U25" s="385"/>
      <c r="V25" s="121"/>
      <c r="W25" s="121"/>
      <c r="X25" s="121"/>
      <c r="Y25" s="385"/>
      <c r="Z25" s="121"/>
      <c r="AA25" s="307"/>
      <c r="AC25" s="739">
        <f>ROUND((VLOOKUP($D25,Salaries!$A$3:$I$370,9,FALSE)*U25*W25*(1+COLA/100)*(1+COLA/100)*(1+COLA/100))+(VLOOKUP($D25,Salaries!$A$3:$I$370,9,FALSE)*Y25*AA25*(1+COLA/100)*(1+COLA/100)*(1+COLA/100)),0)</f>
        <v>0</v>
      </c>
      <c r="AD25" s="739"/>
      <c r="AE25" s="322"/>
      <c r="AH25" s="150">
        <f>U25+H25</f>
        <v>0</v>
      </c>
      <c r="AI25" s="150"/>
      <c r="AJ25" s="151">
        <f>W25+J25</f>
        <v>0</v>
      </c>
      <c r="AK25" s="152"/>
      <c r="AL25" s="150">
        <f>Y25+L25</f>
        <v>0</v>
      </c>
      <c r="AM25" s="150"/>
      <c r="AN25" s="151">
        <f>AA25+N25</f>
        <v>0</v>
      </c>
      <c r="AO25" s="109"/>
      <c r="AP25" s="765">
        <f>ROUND(SUM(P25:Q26)+SUM(AC25:AD26),0)</f>
        <v>0</v>
      </c>
      <c r="AQ25" s="765"/>
      <c r="AS25" s="323"/>
      <c r="AU25" s="322"/>
      <c r="BE25" s="107"/>
      <c r="BG25" s="108"/>
    </row>
    <row r="26" spans="3:59" ht="12.75" hidden="1" customHeight="1" x14ac:dyDescent="0.3">
      <c r="D26" s="106" t="str">
        <f>"Fringe @ "&amp;TEXT(FRINGE,"0.00%")</f>
        <v>Fringe @ 27.27%</v>
      </c>
      <c r="H26" s="121"/>
      <c r="I26" s="121"/>
      <c r="J26" s="121"/>
      <c r="K26" s="121"/>
      <c r="L26" s="121"/>
      <c r="M26" s="121"/>
      <c r="N26" s="121"/>
      <c r="O26" s="119"/>
      <c r="Q26" s="180">
        <f>ROUND(P25*FRINGE*(1+FrCOLA+FrCOLA+FrCOLA),0)</f>
        <v>0</v>
      </c>
      <c r="T26" s="323"/>
      <c r="U26" s="121"/>
      <c r="V26" s="121"/>
      <c r="W26" s="121"/>
      <c r="X26" s="121"/>
      <c r="Y26" s="121"/>
      <c r="Z26" s="121"/>
      <c r="AA26" s="121"/>
      <c r="AD26" s="180">
        <f>ROUND(AC25*FRINGE*(1+FrCOLA+FrCOLA+FrCOLA),0)</f>
        <v>0</v>
      </c>
      <c r="AE26" s="322"/>
      <c r="AH26" s="152"/>
      <c r="AI26" s="152"/>
      <c r="AJ26" s="152"/>
      <c r="AK26" s="152"/>
      <c r="AL26" s="150"/>
      <c r="AM26" s="150"/>
      <c r="AN26" s="150"/>
      <c r="AO26" s="109"/>
      <c r="AP26" s="765"/>
      <c r="AQ26" s="765"/>
      <c r="AS26" s="323"/>
      <c r="AU26" s="322"/>
      <c r="BE26" s="107"/>
      <c r="BG26" s="108"/>
    </row>
    <row r="27" spans="3:59" ht="3" hidden="1" customHeight="1" x14ac:dyDescent="0.3">
      <c r="H27" s="121"/>
      <c r="I27" s="121"/>
      <c r="J27" s="121"/>
      <c r="K27" s="121"/>
      <c r="L27" s="121"/>
      <c r="M27" s="121"/>
      <c r="N27" s="121"/>
      <c r="O27" s="119"/>
      <c r="T27" s="323"/>
      <c r="U27" s="121"/>
      <c r="V27" s="121"/>
      <c r="W27" s="121"/>
      <c r="X27" s="121"/>
      <c r="Y27" s="121"/>
      <c r="Z27" s="121"/>
      <c r="AA27" s="121"/>
      <c r="AE27" s="322"/>
      <c r="AH27" s="152"/>
      <c r="AI27" s="152"/>
      <c r="AJ27" s="152"/>
      <c r="AK27" s="152"/>
      <c r="AL27" s="150"/>
      <c r="AM27" s="150"/>
      <c r="AN27" s="150"/>
      <c r="AO27" s="109"/>
      <c r="AP27" s="608"/>
      <c r="AQ27" s="608"/>
      <c r="AS27" s="323"/>
      <c r="AU27" s="322"/>
      <c r="BE27" s="107"/>
      <c r="BG27" s="108"/>
    </row>
    <row r="28" spans="3:59" ht="14.25" hidden="1" customHeight="1" x14ac:dyDescent="0.3">
      <c r="D28" s="21">
        <f>'YEAR 3'!D28</f>
        <v>0</v>
      </c>
      <c r="F28" s="120">
        <f>ROUND((VLOOKUP(D28,Salaries!$A$3:$I$370,8,FALSE))*(1+COLA/100)*(1+COLA/100)*(1+COLA/100),0)</f>
        <v>0</v>
      </c>
      <c r="H28" s="385"/>
      <c r="I28" s="306"/>
      <c r="J28" s="307"/>
      <c r="K28" s="307"/>
      <c r="L28" s="385"/>
      <c r="M28" s="305"/>
      <c r="N28" s="307"/>
      <c r="O28" s="146"/>
      <c r="P28" s="739">
        <f>ROUND((VLOOKUP($D28,Salaries!$A$3:$I$370,9,FALSE)*H28*J28*(1+COLA/100)*(1+COLA/100)*(1+COLA/100))+(VLOOKUP($D28,Salaries!$A$3:$I$370,9,FALSE)*L28*N28*(1+COLA/100)*(1+COLA/100)*(1+COLA/100)),0)</f>
        <v>0</v>
      </c>
      <c r="Q28" s="739"/>
      <c r="T28" s="323"/>
      <c r="U28" s="385"/>
      <c r="V28" s="121"/>
      <c r="W28" s="121"/>
      <c r="X28" s="121"/>
      <c r="Y28" s="385"/>
      <c r="Z28" s="121"/>
      <c r="AA28" s="307"/>
      <c r="AC28" s="739">
        <f>ROUND((VLOOKUP($D28,Salaries!$A$3:$I$370,9,FALSE)*U28*W28*(1+COLA/100)*(1+COLA/100)*(1+COLA/100))+(VLOOKUP($D28,Salaries!$A$3:$I$370,9,FALSE)*Y28*AA28*(1+COLA/100)*(1+COLA/100)*(1+COLA/100)),0)</f>
        <v>0</v>
      </c>
      <c r="AD28" s="739"/>
      <c r="AE28" s="322"/>
      <c r="AH28" s="150">
        <f>U28+H28</f>
        <v>0</v>
      </c>
      <c r="AI28" s="150"/>
      <c r="AJ28" s="151">
        <f>W28+J28</f>
        <v>0</v>
      </c>
      <c r="AK28" s="152"/>
      <c r="AL28" s="150">
        <f>Y28+L28</f>
        <v>0</v>
      </c>
      <c r="AM28" s="150"/>
      <c r="AN28" s="151">
        <f>AA28+N28</f>
        <v>0</v>
      </c>
      <c r="AO28" s="109"/>
      <c r="AP28" s="765">
        <f>ROUND(SUM(P28:Q29)+SUM(AC28:AD29),0)</f>
        <v>0</v>
      </c>
      <c r="AQ28" s="765"/>
      <c r="AS28" s="323"/>
      <c r="AU28" s="322"/>
      <c r="BE28" s="107"/>
      <c r="BG28" s="108"/>
    </row>
    <row r="29" spans="3:59" ht="12.75" hidden="1" customHeight="1" x14ac:dyDescent="0.3">
      <c r="D29" s="106" t="str">
        <f>"Fringe @ "&amp;TEXT(FRINGE,"0.00%")</f>
        <v>Fringe @ 27.27%</v>
      </c>
      <c r="H29" s="121"/>
      <c r="I29" s="121"/>
      <c r="J29" s="121"/>
      <c r="K29" s="121"/>
      <c r="L29" s="121"/>
      <c r="M29" s="121"/>
      <c r="N29" s="121"/>
      <c r="O29" s="119"/>
      <c r="Q29" s="180">
        <f>ROUND(P28*FRINGE*(1+FrCOLA+FrCOLA+FrCOLA),0)</f>
        <v>0</v>
      </c>
      <c r="T29" s="323"/>
      <c r="U29" s="121"/>
      <c r="V29" s="121"/>
      <c r="W29" s="121"/>
      <c r="X29" s="121"/>
      <c r="Y29" s="121"/>
      <c r="Z29" s="121"/>
      <c r="AA29" s="121"/>
      <c r="AD29" s="180">
        <f>ROUND(AC28*FRINGE*(1+FrCOLA+FrCOLA+FrCOLA),0)</f>
        <v>0</v>
      </c>
      <c r="AE29" s="322"/>
      <c r="AH29" s="152"/>
      <c r="AI29" s="152"/>
      <c r="AJ29" s="152"/>
      <c r="AK29" s="152"/>
      <c r="AL29" s="150"/>
      <c r="AM29" s="150"/>
      <c r="AN29" s="150"/>
      <c r="AO29" s="109"/>
      <c r="AP29" s="765"/>
      <c r="AQ29" s="765"/>
      <c r="AS29" s="323"/>
      <c r="AU29" s="322"/>
      <c r="BE29" s="107"/>
      <c r="BG29" s="108"/>
    </row>
    <row r="30" spans="3:59" ht="3" hidden="1" customHeight="1" x14ac:dyDescent="0.3">
      <c r="H30" s="121"/>
      <c r="I30" s="121"/>
      <c r="J30" s="121"/>
      <c r="K30" s="121"/>
      <c r="L30" s="121"/>
      <c r="M30" s="121"/>
      <c r="N30" s="121"/>
      <c r="O30" s="119"/>
      <c r="T30" s="323"/>
      <c r="U30" s="121"/>
      <c r="V30" s="121"/>
      <c r="W30" s="121"/>
      <c r="X30" s="121"/>
      <c r="Y30" s="121"/>
      <c r="Z30" s="121"/>
      <c r="AA30" s="121"/>
      <c r="AE30" s="322"/>
      <c r="AH30" s="152"/>
      <c r="AI30" s="152"/>
      <c r="AJ30" s="152"/>
      <c r="AK30" s="152"/>
      <c r="AL30" s="150"/>
      <c r="AM30" s="150"/>
      <c r="AN30" s="150"/>
      <c r="AO30" s="109"/>
      <c r="AP30" s="608"/>
      <c r="AQ30" s="608"/>
      <c r="AS30" s="323"/>
      <c r="AU30" s="322"/>
      <c r="BE30" s="107"/>
      <c r="BG30" s="108"/>
    </row>
    <row r="31" spans="3:59" ht="14.25" hidden="1" customHeight="1" x14ac:dyDescent="0.3">
      <c r="D31" s="21">
        <f>'YEAR 3'!D31</f>
        <v>0</v>
      </c>
      <c r="F31" s="120">
        <f>ROUND((VLOOKUP(D31,Salaries!$A$3:$I$370,8,FALSE))*(1+COLA/100)*(1+COLA/100)*(1+COLA/100),0)</f>
        <v>0</v>
      </c>
      <c r="H31" s="385"/>
      <c r="I31" s="306"/>
      <c r="J31" s="307"/>
      <c r="K31" s="307"/>
      <c r="L31" s="385"/>
      <c r="M31" s="305"/>
      <c r="N31" s="307"/>
      <c r="O31" s="146"/>
      <c r="P31" s="739">
        <f>ROUND((VLOOKUP($D31,Salaries!$A$3:$I$370,9,FALSE)*H31*J31*(1+COLA/100)*(1+COLA/100)*(1+COLA/100))+(VLOOKUP($D31,Salaries!$A$3:$I$370,9,FALSE)*L31*N31*(1+COLA/100)*(1+COLA/100)*(1+COLA/100)),0)</f>
        <v>0</v>
      </c>
      <c r="Q31" s="739"/>
      <c r="T31" s="323"/>
      <c r="U31" s="385"/>
      <c r="V31" s="121"/>
      <c r="W31" s="121"/>
      <c r="X31" s="121"/>
      <c r="Y31" s="385"/>
      <c r="Z31" s="121"/>
      <c r="AA31" s="307"/>
      <c r="AC31" s="739">
        <f>ROUND((VLOOKUP($D31,Salaries!$A$3:$I$370,9,FALSE)*U31*W31*(1+COLA/100)*(1+COLA/100)*(1+COLA/100))+(VLOOKUP($D31,Salaries!$A$3:$I$370,9,FALSE)*Y31*AA31*(1+COLA/100)*(1+COLA/100)*(1+COLA/100)),0)</f>
        <v>0</v>
      </c>
      <c r="AD31" s="739"/>
      <c r="AE31" s="322"/>
      <c r="AH31" s="150">
        <f>U31+H31</f>
        <v>0</v>
      </c>
      <c r="AI31" s="150"/>
      <c r="AJ31" s="151">
        <f>W31+J31</f>
        <v>0</v>
      </c>
      <c r="AK31" s="152"/>
      <c r="AL31" s="150">
        <f>Y31+L31</f>
        <v>0</v>
      </c>
      <c r="AM31" s="150"/>
      <c r="AN31" s="151">
        <f>AA31+N31</f>
        <v>0</v>
      </c>
      <c r="AO31" s="109"/>
      <c r="AP31" s="765">
        <f>ROUND(SUM(P31:Q32)+SUM(AC31:AD32),0)</f>
        <v>0</v>
      </c>
      <c r="AQ31" s="765"/>
      <c r="AS31" s="323"/>
      <c r="AU31" s="322"/>
      <c r="BE31" s="107"/>
      <c r="BG31" s="108"/>
    </row>
    <row r="32" spans="3:59" ht="12.75" hidden="1" customHeight="1" x14ac:dyDescent="0.3">
      <c r="D32" s="106" t="str">
        <f>"Fringe @ "&amp;TEXT(FRINGE,"0.00%")</f>
        <v>Fringe @ 27.27%</v>
      </c>
      <c r="H32" s="121"/>
      <c r="I32" s="121"/>
      <c r="J32" s="121"/>
      <c r="K32" s="121"/>
      <c r="L32" s="121"/>
      <c r="M32" s="121"/>
      <c r="N32" s="121"/>
      <c r="O32" s="119"/>
      <c r="Q32" s="180">
        <f>ROUND(P31*FRINGE*(1+FrCOLA+FrCOLA+FrCOLA),0)</f>
        <v>0</v>
      </c>
      <c r="T32" s="323"/>
      <c r="U32" s="121"/>
      <c r="V32" s="121"/>
      <c r="W32" s="121"/>
      <c r="X32" s="121"/>
      <c r="Y32" s="121"/>
      <c r="Z32" s="121"/>
      <c r="AA32" s="121"/>
      <c r="AD32" s="180">
        <f>ROUND(AC31*FRINGE*(1+FrCOLA+FrCOLA+FrCOLA),0)</f>
        <v>0</v>
      </c>
      <c r="AE32" s="322"/>
      <c r="AH32" s="152"/>
      <c r="AI32" s="152"/>
      <c r="AJ32" s="152"/>
      <c r="AK32" s="152"/>
      <c r="AL32" s="150"/>
      <c r="AM32" s="150"/>
      <c r="AN32" s="150"/>
      <c r="AO32" s="109"/>
      <c r="AP32" s="765"/>
      <c r="AQ32" s="765"/>
      <c r="AS32" s="323"/>
      <c r="AU32" s="322"/>
      <c r="BE32" s="107"/>
      <c r="BG32" s="108"/>
    </row>
    <row r="33" spans="1:59" ht="3" hidden="1" customHeight="1" x14ac:dyDescent="0.3">
      <c r="L33" s="121"/>
      <c r="M33" s="121"/>
      <c r="N33" s="121"/>
      <c r="O33" s="122"/>
      <c r="T33" s="323"/>
      <c r="Y33" s="121"/>
      <c r="Z33" s="121"/>
      <c r="AA33" s="121"/>
      <c r="AE33" s="322"/>
      <c r="AH33" s="153"/>
      <c r="AI33" s="153"/>
      <c r="AJ33" s="153"/>
      <c r="AK33" s="109"/>
      <c r="AL33" s="152"/>
      <c r="AM33" s="152"/>
      <c r="AN33" s="152"/>
      <c r="AO33" s="109"/>
      <c r="AS33" s="323"/>
      <c r="AU33" s="322"/>
    </row>
    <row r="34" spans="1:59" ht="14.25" hidden="1" customHeight="1" x14ac:dyDescent="0.3">
      <c r="D34" s="21">
        <f>'YEAR 3'!D34</f>
        <v>0</v>
      </c>
      <c r="F34" s="120">
        <f>ROUND((VLOOKUP(D34,Salaries!$A$3:$I$370,8,FALSE))*(1+COLA/100)*(1+COLA/100)*(1+COLA/100),0)</f>
        <v>0</v>
      </c>
      <c r="H34" s="385"/>
      <c r="I34" s="306"/>
      <c r="J34" s="307"/>
      <c r="K34" s="307"/>
      <c r="L34" s="385"/>
      <c r="M34" s="305"/>
      <c r="N34" s="307"/>
      <c r="O34" s="146"/>
      <c r="P34" s="739">
        <f>ROUND((VLOOKUP($D34,Salaries!$A$3:$I$370,9,FALSE)*H34*J34*(1+COLA/100)*(1+COLA/100)*(1+COLA/100))+(VLOOKUP($D34,Salaries!$A$3:$I$370,9,FALSE)*L34*N34*(1+COLA/100)*(1+COLA/100)*(1+COLA/100)),0)</f>
        <v>0</v>
      </c>
      <c r="Q34" s="739"/>
      <c r="T34" s="323"/>
      <c r="U34" s="385"/>
      <c r="V34" s="306"/>
      <c r="W34" s="307"/>
      <c r="X34" s="307"/>
      <c r="Y34" s="385"/>
      <c r="Z34" s="305"/>
      <c r="AA34" s="307"/>
      <c r="AC34" s="739">
        <f>ROUND((VLOOKUP($D34,Salaries!$A$3:$I$370,9,FALSE)*U34*W34*(1+COLA/100)*(1+COLA/100)*(1+COLA/100))+(VLOOKUP($D34,Salaries!$A$3:$I$370,9,FALSE)*Y34*AA34*(1+COLA/100)*(1+COLA/100)*(1+COLA/100)),0)</f>
        <v>0</v>
      </c>
      <c r="AD34" s="739"/>
      <c r="AE34" s="322"/>
      <c r="AH34" s="150">
        <f>U34+H34</f>
        <v>0</v>
      </c>
      <c r="AI34" s="150"/>
      <c r="AJ34" s="151">
        <f>W34+J34</f>
        <v>0</v>
      </c>
      <c r="AK34" s="152"/>
      <c r="AL34" s="150">
        <f>Y34+L34</f>
        <v>0</v>
      </c>
      <c r="AM34" s="150"/>
      <c r="AN34" s="151">
        <f>AA34+N34</f>
        <v>0</v>
      </c>
      <c r="AO34" s="109"/>
      <c r="AP34" s="765">
        <f>ROUND(SUM(P34:Q35)+SUM(AC34:AD35),0)</f>
        <v>0</v>
      </c>
      <c r="AQ34" s="765"/>
      <c r="AS34" s="323"/>
      <c r="AU34" s="322"/>
      <c r="AW34" s="107">
        <f>P34</f>
        <v>0</v>
      </c>
      <c r="AY34" s="107">
        <f>ROUND(AC34,0)</f>
        <v>0</v>
      </c>
      <c r="BA34" s="108">
        <f>ROUND(AY34+AW34,0)</f>
        <v>0</v>
      </c>
    </row>
    <row r="35" spans="1:59" ht="12.75" hidden="1" customHeight="1" x14ac:dyDescent="0.3">
      <c r="D35" s="106" t="str">
        <f>"Fringe @ "&amp;TEXT(FRINGE,"0.00%")</f>
        <v>Fringe @ 27.27%</v>
      </c>
      <c r="H35" s="121"/>
      <c r="I35" s="121"/>
      <c r="J35" s="121"/>
      <c r="K35" s="121"/>
      <c r="L35" s="121"/>
      <c r="M35" s="121"/>
      <c r="N35" s="121"/>
      <c r="O35" s="119"/>
      <c r="Q35" s="180">
        <f>ROUND(P34*FRINGE*(1+FrCOLA+FrCOLA+FrCOLA),0)</f>
        <v>0</v>
      </c>
      <c r="T35" s="323"/>
      <c r="U35" s="121"/>
      <c r="V35" s="121"/>
      <c r="W35" s="121"/>
      <c r="X35" s="121"/>
      <c r="Y35" s="121"/>
      <c r="Z35" s="121"/>
      <c r="AA35" s="121"/>
      <c r="AD35" s="180">
        <f>ROUND(AC34*FRINGE*(1+FrCOLA+FrCOLA+FrCOLA),0)</f>
        <v>0</v>
      </c>
      <c r="AE35" s="322"/>
      <c r="AH35" s="152"/>
      <c r="AI35" s="152"/>
      <c r="AJ35" s="152"/>
      <c r="AK35" s="152"/>
      <c r="AL35" s="150"/>
      <c r="AM35" s="150"/>
      <c r="AN35" s="150"/>
      <c r="AO35" s="109"/>
      <c r="AP35" s="765"/>
      <c r="AQ35" s="765"/>
      <c r="AS35" s="323"/>
      <c r="AU35" s="322"/>
      <c r="BC35" s="107">
        <f>ROUND(Q35,0)</f>
        <v>0</v>
      </c>
      <c r="BE35" s="107">
        <f>ROUND(AD35,0)</f>
        <v>0</v>
      </c>
      <c r="BG35" s="108">
        <f>ROUND(BE35+BC35,0)</f>
        <v>0</v>
      </c>
    </row>
    <row r="36" spans="1:59" ht="3" hidden="1" customHeight="1" x14ac:dyDescent="0.3">
      <c r="D36" s="115"/>
      <c r="E36" s="115"/>
      <c r="F36" s="116"/>
      <c r="G36" s="116"/>
      <c r="O36" s="117"/>
      <c r="T36" s="323"/>
      <c r="AE36" s="322"/>
      <c r="AH36" s="109"/>
      <c r="AI36" s="109"/>
      <c r="AJ36" s="109"/>
      <c r="AK36" s="109"/>
      <c r="AL36" s="153"/>
      <c r="AM36" s="153"/>
      <c r="AN36" s="153"/>
      <c r="AO36" s="109"/>
      <c r="AS36" s="323"/>
      <c r="AU36" s="322"/>
    </row>
    <row r="37" spans="1:59" ht="14.25" hidden="1" customHeight="1" x14ac:dyDescent="0.3">
      <c r="D37" s="21">
        <f>'YEAR 3'!D37</f>
        <v>0</v>
      </c>
      <c r="F37" s="120">
        <f>ROUND((VLOOKUP(D37,Salaries!$A$3:$I$370,8,FALSE))*(1+COLA/100)*(1+COLA/100)*(1+COLA/100),0)</f>
        <v>0</v>
      </c>
      <c r="H37" s="385"/>
      <c r="I37" s="306"/>
      <c r="J37" s="307"/>
      <c r="K37" s="307"/>
      <c r="L37" s="385"/>
      <c r="M37" s="305"/>
      <c r="N37" s="307"/>
      <c r="O37" s="146"/>
      <c r="P37" s="739">
        <f>ROUND((VLOOKUP($D37,Salaries!$A$3:$I$370,9,FALSE)*H37*J37*(1+COLA/100)*(1+COLA/100)*(1+COLA/100))+(VLOOKUP($D37,Salaries!$A$3:$I$370,9,FALSE)*L37*N37*(1+COLA/100)*(1+COLA/100)*(1+COLA/100)),0)</f>
        <v>0</v>
      </c>
      <c r="Q37" s="739"/>
      <c r="T37" s="323"/>
      <c r="U37" s="385"/>
      <c r="V37" s="306"/>
      <c r="W37" s="307"/>
      <c r="X37" s="307"/>
      <c r="Y37" s="385"/>
      <c r="Z37" s="305"/>
      <c r="AA37" s="307"/>
      <c r="AC37" s="739">
        <f>ROUND((VLOOKUP($D37,Salaries!$A$3:$I$370,9,FALSE)*U37*W37*(1+COLA/100)*(1+COLA/100)*(1+COLA/100))+(VLOOKUP($D37,Salaries!$A$3:$I$370,9,FALSE)*Y37*AA37*(1+COLA/100)*(1+COLA/100)*(1+COLA/100)),0)</f>
        <v>0</v>
      </c>
      <c r="AD37" s="739"/>
      <c r="AE37" s="322"/>
      <c r="AH37" s="150">
        <f>U37+H37</f>
        <v>0</v>
      </c>
      <c r="AI37" s="150"/>
      <c r="AJ37" s="151">
        <f>W37+J37</f>
        <v>0</v>
      </c>
      <c r="AK37" s="152"/>
      <c r="AL37" s="150">
        <f>Y37+L37</f>
        <v>0</v>
      </c>
      <c r="AM37" s="150"/>
      <c r="AN37" s="151">
        <f>AA37+N37</f>
        <v>0</v>
      </c>
      <c r="AO37" s="109"/>
      <c r="AP37" s="765">
        <f>ROUND(SUM(P37:Q38)+SUM(AC37:AD38),0)</f>
        <v>0</v>
      </c>
      <c r="AQ37" s="765"/>
      <c r="AS37" s="323"/>
      <c r="AU37" s="322"/>
      <c r="AW37" s="107">
        <f>P37</f>
        <v>0</v>
      </c>
      <c r="AY37" s="107">
        <f>ROUND(AC37,0)</f>
        <v>0</v>
      </c>
      <c r="BA37" s="108">
        <f>ROUND(AY37+AW37,0)</f>
        <v>0</v>
      </c>
    </row>
    <row r="38" spans="1:59" ht="12.75" hidden="1" customHeight="1" x14ac:dyDescent="0.3">
      <c r="D38" s="106" t="str">
        <f>"Fringe @ "&amp;TEXT(FRINGE,"0.00%")</f>
        <v>Fringe @ 27.27%</v>
      </c>
      <c r="H38" s="121"/>
      <c r="I38" s="121"/>
      <c r="J38" s="121"/>
      <c r="K38" s="121"/>
      <c r="L38" s="121"/>
      <c r="M38" s="121"/>
      <c r="N38" s="121"/>
      <c r="O38" s="119"/>
      <c r="Q38" s="180">
        <f>ROUND(P37*FRINGE*(1+FrCOLA+FrCOLA+FrCOLA),0)</f>
        <v>0</v>
      </c>
      <c r="T38" s="323"/>
      <c r="U38" s="121"/>
      <c r="V38" s="121"/>
      <c r="W38" s="121"/>
      <c r="X38" s="121"/>
      <c r="Y38" s="121"/>
      <c r="Z38" s="121"/>
      <c r="AA38" s="121"/>
      <c r="AD38" s="180">
        <f>ROUND(AC37*FRINGE*(1+FrCOLA+FrCOLA+FrCOLA),0)</f>
        <v>0</v>
      </c>
      <c r="AE38" s="322"/>
      <c r="AH38" s="152"/>
      <c r="AI38" s="152"/>
      <c r="AJ38" s="152"/>
      <c r="AK38" s="152"/>
      <c r="AL38" s="150"/>
      <c r="AM38" s="150"/>
      <c r="AN38" s="150"/>
      <c r="AO38" s="109"/>
      <c r="AP38" s="765"/>
      <c r="AQ38" s="765"/>
      <c r="AS38" s="323"/>
      <c r="AU38" s="322"/>
      <c r="BC38" s="107">
        <f>ROUND(Q38,0)</f>
        <v>0</v>
      </c>
      <c r="BE38" s="107">
        <f>ROUND(AD38,0)</f>
        <v>0</v>
      </c>
      <c r="BG38" s="108">
        <f>ROUND(BE38+BC38,0)</f>
        <v>0</v>
      </c>
    </row>
    <row r="39" spans="1:59" ht="3" hidden="1" customHeight="1" x14ac:dyDescent="0.3">
      <c r="D39" s="115"/>
      <c r="E39" s="115"/>
      <c r="F39" s="116"/>
      <c r="G39" s="116"/>
      <c r="L39" s="123"/>
      <c r="M39" s="123"/>
      <c r="N39" s="123"/>
      <c r="O39" s="124"/>
      <c r="T39" s="323"/>
      <c r="Y39" s="123"/>
      <c r="Z39" s="123"/>
      <c r="AA39" s="123"/>
      <c r="AE39" s="322"/>
      <c r="AH39" s="109"/>
      <c r="AI39" s="109"/>
      <c r="AJ39" s="109"/>
      <c r="AK39" s="109"/>
      <c r="AL39" s="154"/>
      <c r="AM39" s="154"/>
      <c r="AN39" s="154"/>
      <c r="AO39" s="109"/>
      <c r="AS39" s="323"/>
      <c r="AU39" s="322"/>
    </row>
    <row r="40" spans="1:59" ht="14.25" hidden="1" customHeight="1" x14ac:dyDescent="0.3">
      <c r="D40" s="21">
        <f>'YEAR 3'!D40</f>
        <v>0</v>
      </c>
      <c r="F40" s="120">
        <f>ROUND((VLOOKUP(D40,Salaries!$A$3:$I$370,8,FALSE))*(1+COLA/100)*(1+COLA/100)*(1+COLA/100),0)</f>
        <v>0</v>
      </c>
      <c r="H40" s="385"/>
      <c r="I40" s="306"/>
      <c r="J40" s="307"/>
      <c r="K40" s="307"/>
      <c r="L40" s="385"/>
      <c r="M40" s="305"/>
      <c r="N40" s="307"/>
      <c r="O40" s="146"/>
      <c r="P40" s="739">
        <f>ROUND((VLOOKUP($D40,Salaries!$A$3:$I$370,9,FALSE)*H40*J40*(1+COLA/100)*(1+COLA/100)*(1+COLA/100))+(VLOOKUP($D40,Salaries!$A$3:$I$370,9,FALSE)*L40*N40*(1+COLA/100)*(1+COLA/100)*(1+COLA/100)),0)</f>
        <v>0</v>
      </c>
      <c r="Q40" s="739"/>
      <c r="T40" s="323"/>
      <c r="U40" s="385"/>
      <c r="V40" s="306"/>
      <c r="W40" s="307"/>
      <c r="X40" s="307"/>
      <c r="Y40" s="385"/>
      <c r="Z40" s="305"/>
      <c r="AA40" s="307"/>
      <c r="AC40" s="739">
        <f>ROUND((VLOOKUP($D40,Salaries!$A$3:$I$370,9,FALSE)*U40*W40*(1+COLA/100)*(1+COLA/100)*(1+COLA/100))+(VLOOKUP($D40,Salaries!$A$3:$I$370,9,FALSE)*Y40*AA40*(1+COLA/100)*(1+COLA/100)*(1+COLA/100)),0)</f>
        <v>0</v>
      </c>
      <c r="AD40" s="739"/>
      <c r="AE40" s="322"/>
      <c r="AH40" s="150">
        <f>U40+H40</f>
        <v>0</v>
      </c>
      <c r="AI40" s="150"/>
      <c r="AJ40" s="151">
        <f>W40+J40</f>
        <v>0</v>
      </c>
      <c r="AK40" s="152"/>
      <c r="AL40" s="150">
        <f>Y40+L40</f>
        <v>0</v>
      </c>
      <c r="AM40" s="150"/>
      <c r="AN40" s="151">
        <f>AA40+N40</f>
        <v>0</v>
      </c>
      <c r="AO40" s="109"/>
      <c r="AP40" s="765">
        <f>ROUND(SUM(P40:Q41)+SUM(AC40:AD41),0)</f>
        <v>0</v>
      </c>
      <c r="AQ40" s="765"/>
      <c r="AS40" s="519"/>
      <c r="AU40" s="322"/>
      <c r="AW40" s="107">
        <f>P40</f>
        <v>0</v>
      </c>
      <c r="AY40" s="107">
        <f>ROUND(AC40,0)</f>
        <v>0</v>
      </c>
      <c r="BA40" s="108">
        <f>ROUND(AY40+AW40,0)</f>
        <v>0</v>
      </c>
    </row>
    <row r="41" spans="1:59" ht="12.75" hidden="1" customHeight="1" x14ac:dyDescent="0.3">
      <c r="D41" s="106" t="str">
        <f>"Fringe @ "&amp;TEXT(FRINGE,"0.00%")</f>
        <v>Fringe @ 27.27%</v>
      </c>
      <c r="H41" s="121"/>
      <c r="I41" s="121"/>
      <c r="J41" s="121"/>
      <c r="K41" s="122"/>
      <c r="L41" s="121"/>
      <c r="M41" s="121"/>
      <c r="N41" s="121"/>
      <c r="O41" s="119"/>
      <c r="Q41" s="180">
        <f>ROUND(P40*FRINGE*(1+FrCOLA+FrCOLA+FrCOLA),0)</f>
        <v>0</v>
      </c>
      <c r="T41" s="323"/>
      <c r="U41" s="121"/>
      <c r="V41" s="121"/>
      <c r="W41" s="121"/>
      <c r="X41" s="122"/>
      <c r="Y41" s="121"/>
      <c r="Z41" s="121"/>
      <c r="AA41" s="121"/>
      <c r="AD41" s="180">
        <f>ROUND(AC40*FRINGE*(1+FrCOLA+FrCOLA+FrCOLA),0)</f>
        <v>0</v>
      </c>
      <c r="AE41" s="322"/>
      <c r="AH41" s="152"/>
      <c r="AI41" s="152"/>
      <c r="AJ41" s="152"/>
      <c r="AK41" s="152"/>
      <c r="AL41" s="150"/>
      <c r="AM41" s="150"/>
      <c r="AN41" s="150"/>
      <c r="AO41" s="109"/>
      <c r="AP41" s="765"/>
      <c r="AQ41" s="765"/>
      <c r="AS41" s="323"/>
      <c r="AU41" s="322"/>
      <c r="BC41" s="107">
        <f>ROUND(Q41,0)</f>
        <v>0</v>
      </c>
      <c r="BE41" s="107">
        <f>ROUND(AD41,0)</f>
        <v>0</v>
      </c>
      <c r="BG41" s="108">
        <f>ROUND(BE41+BC41,0)</f>
        <v>0</v>
      </c>
    </row>
    <row r="42" spans="1:59" ht="3" hidden="1" customHeight="1" x14ac:dyDescent="0.3">
      <c r="B42" s="772"/>
      <c r="C42" s="772"/>
      <c r="D42" s="772"/>
      <c r="E42" s="772"/>
      <c r="F42" s="772"/>
      <c r="G42" s="772"/>
      <c r="H42" s="772"/>
      <c r="I42" s="772"/>
      <c r="J42" s="772"/>
      <c r="K42" s="772"/>
      <c r="L42" s="772"/>
      <c r="M42" s="134"/>
      <c r="N42" s="134"/>
      <c r="O42" s="135"/>
      <c r="P42" s="763"/>
      <c r="Q42" s="763"/>
      <c r="R42" s="134"/>
      <c r="S42" s="134"/>
      <c r="T42" s="325"/>
      <c r="U42" s="134"/>
      <c r="V42" s="134"/>
      <c r="W42" s="134"/>
      <c r="X42" s="134"/>
      <c r="Y42" s="134"/>
      <c r="Z42" s="134"/>
      <c r="AA42" s="134"/>
      <c r="AB42" s="134"/>
      <c r="AC42" s="763"/>
      <c r="AD42" s="763"/>
      <c r="AE42" s="326"/>
      <c r="AF42" s="134"/>
      <c r="AG42" s="134"/>
      <c r="AH42" s="134"/>
      <c r="AI42" s="134"/>
      <c r="AJ42" s="134"/>
      <c r="AK42" s="134"/>
      <c r="AL42" s="134"/>
      <c r="AM42" s="134"/>
      <c r="AN42" s="134"/>
      <c r="AO42" s="134"/>
      <c r="AP42" s="736"/>
      <c r="AQ42" s="736"/>
      <c r="AS42" s="323"/>
      <c r="AU42" s="322"/>
    </row>
    <row r="43" spans="1:59" x14ac:dyDescent="0.3">
      <c r="B43" s="158" t="str">
        <f>CONCATENATE("TOTAL ",B12)</f>
        <v>TOTAL SENIOR PERSONNEL</v>
      </c>
      <c r="C43" s="159"/>
      <c r="D43" s="160"/>
      <c r="E43" s="160"/>
      <c r="F43" s="161"/>
      <c r="G43" s="161"/>
      <c r="H43" s="159"/>
      <c r="I43" s="159"/>
      <c r="J43" s="159"/>
      <c r="K43" s="159"/>
      <c r="L43" s="159"/>
      <c r="M43" s="159"/>
      <c r="N43" s="159"/>
      <c r="O43" s="159"/>
      <c r="P43" s="726">
        <f>ROUND(SUM(P13:Q42),0)</f>
        <v>0</v>
      </c>
      <c r="Q43" s="726"/>
      <c r="R43" s="159"/>
      <c r="S43" s="159"/>
      <c r="T43" s="327"/>
      <c r="U43" s="159"/>
      <c r="V43" s="159"/>
      <c r="W43" s="159"/>
      <c r="X43" s="159"/>
      <c r="Y43" s="159"/>
      <c r="Z43" s="159"/>
      <c r="AA43" s="159"/>
      <c r="AB43" s="159"/>
      <c r="AC43" s="726">
        <f>ROUND(SUM(AC13:AD42),0)</f>
        <v>0</v>
      </c>
      <c r="AD43" s="726"/>
      <c r="AE43" s="328"/>
      <c r="AF43" s="159"/>
      <c r="AG43" s="159"/>
      <c r="AH43" s="162">
        <f>SUM(AH13:AH42)</f>
        <v>0</v>
      </c>
      <c r="AI43" s="159"/>
      <c r="AJ43" s="163">
        <f>SUM(AJ12:AJ42)</f>
        <v>0</v>
      </c>
      <c r="AK43" s="159"/>
      <c r="AL43" s="162">
        <f>SUM(AL13:AL42)</f>
        <v>0</v>
      </c>
      <c r="AM43" s="159"/>
      <c r="AN43" s="163">
        <f>SUM(AN12:AN42)</f>
        <v>1</v>
      </c>
      <c r="AO43" s="159"/>
      <c r="AP43" s="775">
        <f>ROUND(SUM(AP13:AQ42),0)</f>
        <v>0</v>
      </c>
      <c r="AQ43" s="775"/>
      <c r="AS43" s="323"/>
      <c r="AU43" s="322"/>
      <c r="BE43" s="107"/>
      <c r="BG43" s="108"/>
    </row>
    <row r="44" spans="1:59" ht="3" customHeight="1" x14ac:dyDescent="0.3">
      <c r="T44" s="323"/>
      <c r="AE44" s="322"/>
      <c r="AS44" s="323"/>
      <c r="AU44" s="322"/>
    </row>
    <row r="45" spans="1:59" x14ac:dyDescent="0.3">
      <c r="A45" s="109" t="s">
        <v>182</v>
      </c>
      <c r="B45" s="127" t="s">
        <v>799</v>
      </c>
      <c r="T45" s="323"/>
      <c r="AE45" s="322"/>
      <c r="AS45" s="323"/>
      <c r="AU45" s="322"/>
    </row>
    <row r="46" spans="1:59" ht="14.25" hidden="1" customHeight="1" x14ac:dyDescent="0.3">
      <c r="B46" s="113"/>
      <c r="C46" s="125">
        <v>1</v>
      </c>
      <c r="D46" s="21" t="str">
        <f>'YEAR 3'!D46</f>
        <v>Lab Technician, Senior Level</v>
      </c>
      <c r="F46" s="120">
        <f>ROUND((VLOOKUP(D46,Salaries!$A$3:$I$370,8,FALSE))*(1+COLA/100)*(1+COLA/100)*(1+COLA/100),0)</f>
        <v>68445</v>
      </c>
      <c r="H46" s="385"/>
      <c r="I46" s="306"/>
      <c r="J46" s="307"/>
      <c r="K46" s="307"/>
      <c r="L46" s="385"/>
      <c r="M46" s="306"/>
      <c r="N46" s="307"/>
      <c r="O46" s="146"/>
      <c r="P46" s="739">
        <f>ROUND(F46/12*H46*J46+F46/12*L46*N46, 0)*C46</f>
        <v>0</v>
      </c>
      <c r="Q46" s="739"/>
      <c r="T46" s="323"/>
      <c r="U46" s="385"/>
      <c r="V46" s="121"/>
      <c r="W46" s="307"/>
      <c r="X46" s="121"/>
      <c r="Y46" s="385"/>
      <c r="Z46" s="121"/>
      <c r="AA46" s="307"/>
      <c r="AC46" s="739">
        <f>ROUND((F46/12*U46*W46)+(F46/12*Y46*AA46),0)</f>
        <v>0</v>
      </c>
      <c r="AD46" s="739"/>
      <c r="AE46" s="322"/>
      <c r="AH46" s="150">
        <f>U46+H46</f>
        <v>0</v>
      </c>
      <c r="AI46" s="150"/>
      <c r="AJ46" s="151">
        <f>W46+J46</f>
        <v>0</v>
      </c>
      <c r="AK46" s="152"/>
      <c r="AL46" s="150">
        <f>Y46+L46</f>
        <v>0</v>
      </c>
      <c r="AM46" s="150"/>
      <c r="AN46" s="151">
        <f>AA46+N46</f>
        <v>0</v>
      </c>
      <c r="AO46" s="109"/>
      <c r="AP46" s="765">
        <f>ROUND(SUM(P46:Q47)+SUM(AC46:AD47),0)</f>
        <v>0</v>
      </c>
      <c r="AQ46" s="765"/>
      <c r="AS46" s="323"/>
      <c r="AU46" s="322"/>
      <c r="AW46" s="107">
        <f>P46</f>
        <v>0</v>
      </c>
      <c r="AY46" s="107">
        <f>ROUND(AC46,0)</f>
        <v>0</v>
      </c>
      <c r="BA46" s="108">
        <f>ROUND(AY46+AW46,0)</f>
        <v>0</v>
      </c>
    </row>
    <row r="47" spans="1:59" hidden="1" x14ac:dyDescent="0.3">
      <c r="B47" s="119"/>
      <c r="C47" s="125"/>
      <c r="D47" s="106" t="str">
        <f>"Fringe @ "&amp;TEXT(FRINGE,"0.00%")</f>
        <v>Fringe @ 27.27%</v>
      </c>
      <c r="H47" s="121"/>
      <c r="I47" s="121"/>
      <c r="J47" s="121"/>
      <c r="K47" s="121"/>
      <c r="L47" s="121"/>
      <c r="M47" s="121"/>
      <c r="N47" s="121"/>
      <c r="O47" s="119"/>
      <c r="Q47" s="180">
        <f>ROUND(P46*FRINGE*(1+FrCOLA+FrCOLA+FrCOLA),0)</f>
        <v>0</v>
      </c>
      <c r="T47" s="323"/>
      <c r="U47" s="461"/>
      <c r="V47" s="121"/>
      <c r="W47" s="121"/>
      <c r="X47" s="121"/>
      <c r="Y47" s="461"/>
      <c r="Z47" s="121"/>
      <c r="AA47" s="121"/>
      <c r="AD47" s="180">
        <f>ROUND(AC46*FRINGE*(1+FrCOLA+FrCOLA+FrCOLA),0)</f>
        <v>0</v>
      </c>
      <c r="AE47" s="322"/>
      <c r="AH47" s="150"/>
      <c r="AI47" s="150"/>
      <c r="AJ47" s="150"/>
      <c r="AK47" s="152"/>
      <c r="AL47" s="150"/>
      <c r="AM47" s="150"/>
      <c r="AN47" s="150"/>
      <c r="AO47" s="109"/>
      <c r="AP47" s="765"/>
      <c r="AQ47" s="765"/>
      <c r="AS47" s="323"/>
      <c r="AU47" s="322"/>
      <c r="BC47" s="107">
        <f>ROUND(Q47,0)</f>
        <v>0</v>
      </c>
      <c r="BE47" s="107">
        <f>ROUND(AD47,0)</f>
        <v>0</v>
      </c>
      <c r="BG47" s="108">
        <f>ROUND(BE47+BC47,0)</f>
        <v>0</v>
      </c>
    </row>
    <row r="48" spans="1:59" ht="3" hidden="1" customHeight="1" x14ac:dyDescent="0.3">
      <c r="C48" s="125"/>
      <c r="D48" s="115"/>
      <c r="E48" s="115"/>
      <c r="F48" s="116"/>
      <c r="G48" s="116"/>
      <c r="H48" s="121"/>
      <c r="I48" s="121"/>
      <c r="J48" s="121"/>
      <c r="K48" s="121"/>
      <c r="L48" s="121"/>
      <c r="M48" s="121"/>
      <c r="N48" s="121"/>
      <c r="O48" s="119"/>
      <c r="T48" s="323"/>
      <c r="U48" s="461"/>
      <c r="V48" s="121"/>
      <c r="W48" s="121"/>
      <c r="X48" s="121"/>
      <c r="Y48" s="461"/>
      <c r="Z48" s="121"/>
      <c r="AA48" s="121"/>
      <c r="AE48" s="322"/>
      <c r="AH48" s="150"/>
      <c r="AI48" s="150"/>
      <c r="AJ48" s="150"/>
      <c r="AK48" s="152"/>
      <c r="AL48" s="150"/>
      <c r="AM48" s="150"/>
      <c r="AN48" s="150"/>
      <c r="AO48" s="109"/>
      <c r="AP48" s="610"/>
      <c r="AQ48" s="610"/>
      <c r="AS48" s="323"/>
      <c r="AU48" s="322"/>
    </row>
    <row r="49" spans="1:59" ht="14.25" hidden="1" customHeight="1" x14ac:dyDescent="0.3">
      <c r="B49" s="113"/>
      <c r="C49" s="125">
        <v>1</v>
      </c>
      <c r="D49" s="21" t="str">
        <f>'YEAR 3'!D49</f>
        <v>PhD Post Doc</v>
      </c>
      <c r="F49" s="120">
        <f>ROUND((VLOOKUP(D49,Salaries!$A$3:$I$370,8,FALSE))*(1+COLA/100)*(1+COLA/100)*(1+COLA/100),0)</f>
        <v>59719</v>
      </c>
      <c r="H49" s="385"/>
      <c r="I49" s="306"/>
      <c r="J49" s="307"/>
      <c r="K49" s="307"/>
      <c r="L49" s="385"/>
      <c r="M49" s="305"/>
      <c r="N49" s="307"/>
      <c r="O49" s="146"/>
      <c r="P49" s="739">
        <f>ROUND((VLOOKUP($D49,Salaries!$A$3:$I$370,9,FALSE)*H49*J49*(1+COLA/100)*(1+COLA/100)*(1+COLA/100))+(VLOOKUP($D49,Salaries!$A$3:$I$370,9,FALSE)*L49*N49*(1+COLA/100)*(1+COLA/100)*(1+COLA/100)),0)*C49</f>
        <v>0</v>
      </c>
      <c r="Q49" s="739"/>
      <c r="T49" s="323"/>
      <c r="U49" s="385"/>
      <c r="V49" s="306"/>
      <c r="W49" s="307"/>
      <c r="X49" s="307"/>
      <c r="Y49" s="385"/>
      <c r="Z49" s="305"/>
      <c r="AA49" s="307"/>
      <c r="AC49" s="739">
        <f>ROUND((VLOOKUP($D49,Salaries!$A$3:$I$370,9,FALSE)*U49*W49*(1+COLA/100)*(1+COLA/100)*(1+COLA/100))+(VLOOKUP($D49,Salaries!$A$3:$I$370,9,FALSE)*Y49*AA49*(1+COLA/100)*(1+COLA/100)*(1+COLA/100)),0)*P49</f>
        <v>0</v>
      </c>
      <c r="AD49" s="739"/>
      <c r="AE49" s="322"/>
      <c r="AH49" s="150">
        <f>U49+H49</f>
        <v>0</v>
      </c>
      <c r="AI49" s="150"/>
      <c r="AJ49" s="151">
        <f>W49+J49</f>
        <v>0</v>
      </c>
      <c r="AK49" s="152"/>
      <c r="AL49" s="150">
        <f>Y49+L49</f>
        <v>0</v>
      </c>
      <c r="AM49" s="150"/>
      <c r="AN49" s="151">
        <f>AA49+N49</f>
        <v>0</v>
      </c>
      <c r="AO49" s="109"/>
      <c r="AP49" s="765">
        <f>ROUND(SUM(P49:Q50)+SUM(AC49:AD50),0)</f>
        <v>0</v>
      </c>
      <c r="AQ49" s="765"/>
      <c r="AS49" s="323"/>
      <c r="AU49" s="322"/>
      <c r="AW49" s="107">
        <f>P49</f>
        <v>0</v>
      </c>
      <c r="AY49" s="107">
        <f>ROUND(AC49,0)</f>
        <v>0</v>
      </c>
      <c r="BA49" s="108">
        <f>ROUND(AY49+AW49,0)</f>
        <v>0</v>
      </c>
    </row>
    <row r="50" spans="1:59" hidden="1" x14ac:dyDescent="0.3">
      <c r="C50" s="125"/>
      <c r="D50" s="106" t="str">
        <f>"Fringe @ "&amp;TEXT(FRINGE,"0.00%")</f>
        <v>Fringe @ 27.27%</v>
      </c>
      <c r="H50" s="121"/>
      <c r="I50" s="121"/>
      <c r="J50" s="121"/>
      <c r="K50" s="121"/>
      <c r="L50" s="121"/>
      <c r="M50" s="121"/>
      <c r="N50" s="121"/>
      <c r="O50" s="119"/>
      <c r="Q50" s="180">
        <f>ROUND(P49*FRINGE*(1+FrCOLA+FrCOLA+FrCOLA),0)</f>
        <v>0</v>
      </c>
      <c r="R50" s="180"/>
      <c r="S50" s="180"/>
      <c r="T50" s="323"/>
      <c r="U50" s="121"/>
      <c r="V50" s="121"/>
      <c r="W50" s="121"/>
      <c r="X50" s="121"/>
      <c r="Y50" s="121"/>
      <c r="Z50" s="121"/>
      <c r="AA50" s="121"/>
      <c r="AD50" s="180">
        <f>ROUND(AC49*FRINGE*(1+FrCOLA+FrCOLA+FrCOLA),0)</f>
        <v>0</v>
      </c>
      <c r="AE50" s="322"/>
      <c r="AH50" s="152"/>
      <c r="AI50" s="152"/>
      <c r="AJ50" s="152"/>
      <c r="AK50" s="152"/>
      <c r="AL50" s="150"/>
      <c r="AM50" s="150"/>
      <c r="AN50" s="150"/>
      <c r="AO50" s="109"/>
      <c r="AP50" s="765"/>
      <c r="AQ50" s="765"/>
      <c r="AS50" s="323"/>
      <c r="AU50" s="322"/>
      <c r="BC50" s="107">
        <f>ROUND(Q50,0)</f>
        <v>0</v>
      </c>
      <c r="BE50" s="107">
        <f>ROUND(AD50,0)</f>
        <v>0</v>
      </c>
      <c r="BG50" s="108">
        <f>ROUND(BE50+BC50,0)</f>
        <v>0</v>
      </c>
    </row>
    <row r="51" spans="1:59" ht="3" hidden="1" customHeight="1" x14ac:dyDescent="0.3">
      <c r="B51" s="127"/>
      <c r="C51" s="125"/>
      <c r="H51" s="121"/>
      <c r="I51" s="121"/>
      <c r="J51" s="121"/>
      <c r="K51" s="121"/>
      <c r="L51" s="121"/>
      <c r="M51" s="121"/>
      <c r="N51" s="121"/>
      <c r="O51" s="119"/>
      <c r="T51" s="323"/>
      <c r="U51" s="121"/>
      <c r="V51" s="121"/>
      <c r="W51" s="121"/>
      <c r="X51" s="121"/>
      <c r="Y51" s="121"/>
      <c r="Z51" s="121"/>
      <c r="AA51" s="121"/>
      <c r="AE51" s="322"/>
      <c r="AH51" s="152"/>
      <c r="AI51" s="152"/>
      <c r="AJ51" s="152"/>
      <c r="AK51" s="152"/>
      <c r="AL51" s="150"/>
      <c r="AM51" s="150"/>
      <c r="AN51" s="150"/>
      <c r="AO51" s="109"/>
      <c r="AS51" s="323"/>
      <c r="AU51" s="322"/>
    </row>
    <row r="52" spans="1:59" ht="14.25" customHeight="1" x14ac:dyDescent="0.3">
      <c r="B52" s="113"/>
      <c r="C52" s="125">
        <v>1</v>
      </c>
      <c r="D52" s="21" t="str">
        <f>'YEAR 3'!D52</f>
        <v>Graduate Student</v>
      </c>
      <c r="F52" s="120">
        <f>ROUND((VLOOKUP(D52,Salaries!$A$3:$I$370,8,FALSE))*(1+COLA/100)*(1+COLA/100)*(1+COLA/100),0)</f>
        <v>57322</v>
      </c>
      <c r="H52" s="385"/>
      <c r="I52" s="306"/>
      <c r="J52" s="307"/>
      <c r="K52" s="307"/>
      <c r="L52" s="385"/>
      <c r="M52" s="305"/>
      <c r="N52" s="307"/>
      <c r="O52" s="146"/>
      <c r="P52" s="739">
        <f>ROUND((VLOOKUP($D52,Salaries!$A$3:$I$370,9,FALSE)*H52*J52*(1+COLA/100)*(1+COLA/100)*(1+COLA/100))+(VLOOKUP($D52,Salaries!$A$3:$I$370,9,FALSE)*L52*N52*(1+COLA/100)*(1+COLA/100)*(1+COLA/100)),0)*C52</f>
        <v>0</v>
      </c>
      <c r="Q52" s="739"/>
      <c r="T52" s="323"/>
      <c r="U52" s="385"/>
      <c r="V52" s="305"/>
      <c r="W52" s="307"/>
      <c r="X52" s="307"/>
      <c r="Y52" s="385"/>
      <c r="Z52" s="305"/>
      <c r="AA52" s="307"/>
      <c r="AC52" s="739">
        <f>ROUND((VLOOKUP($D52,Salaries!$A$3:$I$370,9,FALSE)*U52*W52*(1+COLA/100)*(1+COLA/100)*(1+COLA/100))+(VLOOKUP($D52,Salaries!$A$3:$I$370,9,FALSE)*Y52*AA52*(1+COLA/100)*(1+COLA/100)*(1+COLA/100)),0)*C52</f>
        <v>0</v>
      </c>
      <c r="AD52" s="739"/>
      <c r="AE52" s="322"/>
      <c r="AH52" s="150">
        <f>U52+H52</f>
        <v>0</v>
      </c>
      <c r="AI52" s="150"/>
      <c r="AJ52" s="151">
        <f>W52+J52</f>
        <v>0</v>
      </c>
      <c r="AK52" s="152"/>
      <c r="AL52" s="150">
        <f>Y52+L52</f>
        <v>0</v>
      </c>
      <c r="AM52" s="150"/>
      <c r="AN52" s="151">
        <f>AA52+N52</f>
        <v>0</v>
      </c>
      <c r="AO52" s="109"/>
      <c r="AP52" s="765">
        <f>ROUND(SUM(P52:Q53)+SUM(AC52:AD53),0)</f>
        <v>0</v>
      </c>
      <c r="AQ52" s="765"/>
      <c r="AS52" s="323"/>
      <c r="AU52" s="322"/>
      <c r="AW52" s="107">
        <f>P52</f>
        <v>0</v>
      </c>
      <c r="AY52" s="107">
        <f>ROUND(AC52,0)</f>
        <v>0</v>
      </c>
      <c r="BA52" s="108">
        <f>ROUND(AY52+AW52,0)</f>
        <v>0</v>
      </c>
    </row>
    <row r="53" spans="1:59" x14ac:dyDescent="0.3">
      <c r="A53" s="109"/>
      <c r="B53" s="109"/>
      <c r="C53" s="125"/>
      <c r="D53" s="106" t="str">
        <f>"Fringe @ "&amp;TEXT(StuFRINGE+FrCOLA+FrCOLA+FrCOLA,"0.00%")</f>
        <v>Fringe @ 7.99%</v>
      </c>
      <c r="H53" s="382"/>
      <c r="I53" s="382"/>
      <c r="J53" s="382"/>
      <c r="K53" s="382"/>
      <c r="L53" s="382"/>
      <c r="M53" s="382"/>
      <c r="N53" s="382"/>
      <c r="O53" s="119"/>
      <c r="Q53" s="180">
        <f>ROUND(P52*StuFRINGE*(1+FrCOLA+FrCOLA+FrCOLA),0)</f>
        <v>0</v>
      </c>
      <c r="T53" s="323"/>
      <c r="U53" s="382"/>
      <c r="V53" s="382"/>
      <c r="W53" s="382"/>
      <c r="X53" s="382"/>
      <c r="Y53" s="382"/>
      <c r="Z53" s="382"/>
      <c r="AA53" s="382"/>
      <c r="AD53" s="180">
        <f>ROUND(AC52*StuFRINGE*(1+FrCOLA+FrCOLA+FrCOLA),0)</f>
        <v>0</v>
      </c>
      <c r="AE53" s="322"/>
      <c r="AH53" s="152"/>
      <c r="AI53" s="152"/>
      <c r="AJ53" s="152"/>
      <c r="AK53" s="152"/>
      <c r="AL53" s="150"/>
      <c r="AM53" s="150"/>
      <c r="AN53" s="150"/>
      <c r="AO53" s="109"/>
      <c r="AP53" s="765"/>
      <c r="AQ53" s="765"/>
      <c r="AS53" s="323"/>
      <c r="AU53" s="322"/>
      <c r="BC53" s="107">
        <f>ROUND(Q53,0)</f>
        <v>0</v>
      </c>
      <c r="BE53" s="107">
        <f>ROUND(AD53,0)</f>
        <v>0</v>
      </c>
      <c r="BG53" s="108">
        <f>ROUND(BE53+BC53,0)</f>
        <v>0</v>
      </c>
    </row>
    <row r="54" spans="1:59" ht="3" customHeight="1" x14ac:dyDescent="0.3">
      <c r="C54" s="279"/>
      <c r="D54" s="115"/>
      <c r="E54" s="115"/>
      <c r="F54" s="116"/>
      <c r="G54" s="116"/>
      <c r="H54" s="382"/>
      <c r="I54" s="382"/>
      <c r="J54" s="382"/>
      <c r="K54" s="382"/>
      <c r="L54" s="382"/>
      <c r="M54" s="382"/>
      <c r="N54" s="382"/>
      <c r="O54" s="119"/>
      <c r="T54" s="323"/>
      <c r="U54" s="382"/>
      <c r="V54" s="382"/>
      <c r="W54" s="382"/>
      <c r="X54" s="382"/>
      <c r="Y54" s="382"/>
      <c r="Z54" s="382"/>
      <c r="AA54" s="382"/>
      <c r="AE54" s="322"/>
      <c r="AH54" s="152"/>
      <c r="AI54" s="152"/>
      <c r="AJ54" s="152"/>
      <c r="AK54" s="152"/>
      <c r="AL54" s="150"/>
      <c r="AM54" s="150"/>
      <c r="AN54" s="150"/>
      <c r="AO54" s="109"/>
      <c r="AS54" s="323"/>
      <c r="AU54" s="322"/>
    </row>
    <row r="55" spans="1:59" ht="14.25" customHeight="1" x14ac:dyDescent="0.3">
      <c r="C55" s="125">
        <v>1</v>
      </c>
      <c r="D55" s="21" t="str">
        <f>'YEAR 3'!D55</f>
        <v>Graduate Student</v>
      </c>
      <c r="F55" s="120">
        <f>ROUND((VLOOKUP(D55,Salaries!$A$3:$I$370,8,FALSE))*(1+COLA/100)*(1+COLA/100)*(1+COLA/100),0)</f>
        <v>57322</v>
      </c>
      <c r="H55" s="385"/>
      <c r="I55" s="306"/>
      <c r="J55" s="307"/>
      <c r="K55" s="307"/>
      <c r="L55" s="385"/>
      <c r="M55" s="305"/>
      <c r="N55" s="307"/>
      <c r="O55" s="146"/>
      <c r="P55" s="739">
        <f>ROUND((VLOOKUP($D55,Salaries!$A$3:$I$370,9,FALSE)*H55*J55*(1+COLA/100)*(1+COLA/100)*(1+COLA/100))+(VLOOKUP($D55,Salaries!$A$3:$I$370,9,FALSE)*L55*N55*(1+COLA/100)*(1+COLA/100)*(1+COLA/100)),0)*C55</f>
        <v>0</v>
      </c>
      <c r="Q55" s="739"/>
      <c r="T55" s="323"/>
      <c r="U55" s="385"/>
      <c r="V55" s="305"/>
      <c r="W55" s="307"/>
      <c r="X55" s="307"/>
      <c r="Y55" s="385"/>
      <c r="Z55" s="305"/>
      <c r="AA55" s="307"/>
      <c r="AC55" s="739">
        <f>ROUND((VLOOKUP($D55,Salaries!$A$3:$I$370,9,FALSE)*U55*W55*(1+COLA/100)*(1+COLA/100)*(1+COLA/100))+(VLOOKUP($D55,Salaries!$A$3:$I$370,9,FALSE)*Y55*AA55*(1+COLA/100)*(1+COLA/100)*(1+COLA/100)),0)*C55</f>
        <v>0</v>
      </c>
      <c r="AD55" s="739"/>
      <c r="AE55" s="322"/>
      <c r="AH55" s="150">
        <f>U55+H55</f>
        <v>0</v>
      </c>
      <c r="AI55" s="150"/>
      <c r="AJ55" s="151">
        <f>W55+J55</f>
        <v>0</v>
      </c>
      <c r="AK55" s="152"/>
      <c r="AL55" s="150">
        <f>Y55+L55</f>
        <v>0</v>
      </c>
      <c r="AM55" s="150"/>
      <c r="AN55" s="151">
        <f>AA55+N55</f>
        <v>0</v>
      </c>
      <c r="AO55" s="109"/>
      <c r="AP55" s="765">
        <f>ROUND(SUM(P55:Q56)+SUM(AC55:AD56),0)</f>
        <v>0</v>
      </c>
      <c r="AQ55" s="765"/>
      <c r="AS55" s="323"/>
      <c r="AU55" s="322"/>
      <c r="AW55" s="107">
        <f>P55</f>
        <v>0</v>
      </c>
      <c r="AY55" s="107">
        <f>ROUND(AC55,0)</f>
        <v>0</v>
      </c>
      <c r="BA55" s="108">
        <f>ROUND(AY55+AW55,0)</f>
        <v>0</v>
      </c>
    </row>
    <row r="56" spans="1:59" x14ac:dyDescent="0.3">
      <c r="C56" s="125"/>
      <c r="D56" s="106" t="str">
        <f>"Fringe @ "&amp;TEXT(StuFRINGE+FrCOLA+FrCOLA+FrCOLA,"0.00%")</f>
        <v>Fringe @ 7.99%</v>
      </c>
      <c r="H56" s="121"/>
      <c r="I56" s="121"/>
      <c r="J56" s="121"/>
      <c r="K56" s="121"/>
      <c r="L56" s="121"/>
      <c r="M56" s="121"/>
      <c r="N56" s="121"/>
      <c r="O56" s="119"/>
      <c r="Q56" s="180">
        <f>ROUND(P55*StuFRINGE*(1+FrCOLA+FrCOLA+FrCOLA),0)</f>
        <v>0</v>
      </c>
      <c r="T56" s="323"/>
      <c r="U56" s="121"/>
      <c r="V56" s="121"/>
      <c r="W56" s="121"/>
      <c r="X56" s="121"/>
      <c r="Y56" s="121"/>
      <c r="Z56" s="121"/>
      <c r="AA56" s="121"/>
      <c r="AD56" s="180">
        <f>ROUND(AC55*StuFRINGE*(1+FrCOLA+FrCOLA+FrCOLA),0)</f>
        <v>0</v>
      </c>
      <c r="AE56" s="322"/>
      <c r="AH56" s="152"/>
      <c r="AI56" s="152"/>
      <c r="AJ56" s="152"/>
      <c r="AK56" s="152"/>
      <c r="AL56" s="150"/>
      <c r="AM56" s="150"/>
      <c r="AN56" s="150"/>
      <c r="AO56" s="109"/>
      <c r="AP56" s="765"/>
      <c r="AQ56" s="765"/>
      <c r="AS56" s="323"/>
      <c r="AU56" s="322"/>
      <c r="BC56" s="107">
        <f>ROUND(Q56,0)</f>
        <v>0</v>
      </c>
      <c r="BE56" s="107">
        <f>ROUND(AD56,0)</f>
        <v>0</v>
      </c>
      <c r="BG56" s="108">
        <f>ROUND(BE56+BC56,0)</f>
        <v>0</v>
      </c>
    </row>
    <row r="57" spans="1:59" ht="3" customHeight="1" x14ac:dyDescent="0.3">
      <c r="C57" s="279"/>
      <c r="D57" s="115"/>
      <c r="E57" s="115"/>
      <c r="F57" s="116"/>
      <c r="G57" s="116"/>
      <c r="L57" s="121"/>
      <c r="M57" s="121"/>
      <c r="N57" s="121"/>
      <c r="O57" s="122"/>
      <c r="T57" s="323"/>
      <c r="Y57" s="121"/>
      <c r="Z57" s="121"/>
      <c r="AA57" s="121"/>
      <c r="AE57" s="322"/>
      <c r="AH57" s="153"/>
      <c r="AI57" s="153"/>
      <c r="AJ57" s="153"/>
      <c r="AK57" s="109"/>
      <c r="AL57" s="152"/>
      <c r="AM57" s="152"/>
      <c r="AN57" s="152"/>
      <c r="AO57" s="109"/>
      <c r="AS57" s="323"/>
      <c r="AU57" s="322"/>
    </row>
    <row r="58" spans="1:59" ht="14.25" customHeight="1" x14ac:dyDescent="0.3">
      <c r="C58" s="125">
        <v>1</v>
      </c>
      <c r="D58" s="21" t="str">
        <f>'YEAR 3'!D58</f>
        <v>Graduate Student</v>
      </c>
      <c r="F58" s="120">
        <f>ROUND((VLOOKUP(D58,Salaries!$A$3:$I$370,8,FALSE))*(1+COLA/100)*(1+COLA/100)*(1+COLA/100),0)</f>
        <v>57322</v>
      </c>
      <c r="H58" s="385"/>
      <c r="I58" s="306"/>
      <c r="J58" s="307"/>
      <c r="K58" s="307"/>
      <c r="L58" s="385"/>
      <c r="M58" s="305"/>
      <c r="N58" s="307"/>
      <c r="O58" s="146"/>
      <c r="P58" s="739">
        <f>ROUND((VLOOKUP($D58,Salaries!$A$3:$I$370,9,FALSE)*H58*J58*(1+COLA/100)*(1+COLA/100)*(1+COLA/100))+(VLOOKUP($D58,Salaries!$A$3:$I$370,9,FALSE)*L58*N58*(1+COLA/100)*(1+COLA/100)*(1+COLA/100)),0)*C58</f>
        <v>0</v>
      </c>
      <c r="Q58" s="739"/>
      <c r="T58" s="323"/>
      <c r="U58" s="385"/>
      <c r="V58" s="305"/>
      <c r="W58" s="307"/>
      <c r="X58" s="307"/>
      <c r="Y58" s="385"/>
      <c r="Z58" s="305"/>
      <c r="AA58" s="307"/>
      <c r="AC58" s="739">
        <f>ROUND((VLOOKUP($D58,Salaries!$A$3:$I$370,9,FALSE)*U58*W58*(1+COLA/100)*(1+COLA/100)*(1+COLA/100))+(VLOOKUP($D58,Salaries!$A$3:$I$370,9,FALSE)*Y58*AA58*(1+COLA/100)*(1+COLA/100)*(1+COLA/100)),0)*P58</f>
        <v>0</v>
      </c>
      <c r="AD58" s="739"/>
      <c r="AE58" s="322"/>
      <c r="AH58" s="150">
        <f>U58+H58</f>
        <v>0</v>
      </c>
      <c r="AI58" s="150"/>
      <c r="AJ58" s="151">
        <f>W58+J58</f>
        <v>0</v>
      </c>
      <c r="AK58" s="152"/>
      <c r="AL58" s="150">
        <f>Y58+L58</f>
        <v>0</v>
      </c>
      <c r="AM58" s="150"/>
      <c r="AN58" s="151">
        <f>AA58+N58</f>
        <v>0</v>
      </c>
      <c r="AO58" s="109"/>
      <c r="AP58" s="765">
        <f>ROUND(SUM(P58:Q59)+SUM(AC58:AD59),0)</f>
        <v>0</v>
      </c>
      <c r="AQ58" s="765"/>
      <c r="AS58" s="323"/>
      <c r="AU58" s="322"/>
      <c r="AW58" s="107">
        <f>P58</f>
        <v>0</v>
      </c>
      <c r="AY58" s="107">
        <f>ROUND(AC58,0)</f>
        <v>0</v>
      </c>
      <c r="BA58" s="108">
        <f>ROUND(AY58+AW58,0)</f>
        <v>0</v>
      </c>
    </row>
    <row r="59" spans="1:59" x14ac:dyDescent="0.3">
      <c r="C59" s="125"/>
      <c r="D59" s="106" t="str">
        <f>"Fringe @ "&amp;TEXT(StuFRINGE+FrCOLA+FrCOLA+FrCOLA,"0.00%")</f>
        <v>Fringe @ 7.99%</v>
      </c>
      <c r="H59" s="121"/>
      <c r="I59" s="121"/>
      <c r="J59" s="121"/>
      <c r="K59" s="121"/>
      <c r="L59" s="121"/>
      <c r="M59" s="121"/>
      <c r="N59" s="121"/>
      <c r="O59" s="119"/>
      <c r="Q59" s="180">
        <f>ROUND(P58*StuFRINGE*(1+FrCOLA+FrCOLA+FrCOLA),0)</f>
        <v>0</v>
      </c>
      <c r="T59" s="323"/>
      <c r="U59" s="121"/>
      <c r="V59" s="121"/>
      <c r="W59" s="121"/>
      <c r="X59" s="121"/>
      <c r="Y59" s="121"/>
      <c r="Z59" s="121"/>
      <c r="AA59" s="121"/>
      <c r="AC59" s="739"/>
      <c r="AD59" s="739">
        <f>ROUND(AC58*StuFRINGE*(1+FrCOLA+FrCOLA+FrCOLA),0)</f>
        <v>0</v>
      </c>
      <c r="AE59" s="322"/>
      <c r="AH59" s="152"/>
      <c r="AI59" s="152"/>
      <c r="AJ59" s="152"/>
      <c r="AK59" s="152"/>
      <c r="AL59" s="150"/>
      <c r="AM59" s="150"/>
      <c r="AN59" s="150"/>
      <c r="AO59" s="109"/>
      <c r="AP59" s="765"/>
      <c r="AQ59" s="765"/>
      <c r="AS59" s="323"/>
      <c r="AU59" s="322"/>
      <c r="BC59" s="107">
        <f>ROUND(Q59,0)</f>
        <v>0</v>
      </c>
      <c r="BE59" s="107">
        <f>ROUND(AD59,0)</f>
        <v>0</v>
      </c>
      <c r="BG59" s="108">
        <f>ROUND(BE59+BC59,0)</f>
        <v>0</v>
      </c>
    </row>
    <row r="60" spans="1:59" ht="3" customHeight="1" x14ac:dyDescent="0.3">
      <c r="C60" s="125"/>
      <c r="D60" s="115"/>
      <c r="E60" s="115"/>
      <c r="F60" s="116"/>
      <c r="G60" s="116"/>
      <c r="O60" s="117"/>
      <c r="T60" s="323"/>
      <c r="AE60" s="322"/>
      <c r="AH60" s="109"/>
      <c r="AI60" s="109"/>
      <c r="AJ60" s="109"/>
      <c r="AK60" s="109"/>
      <c r="AL60" s="153"/>
      <c r="AM60" s="153"/>
      <c r="AN60" s="153"/>
      <c r="AO60" s="109"/>
      <c r="AS60" s="323"/>
      <c r="AU60" s="322"/>
    </row>
    <row r="61" spans="1:59" ht="14.25" customHeight="1" x14ac:dyDescent="0.3">
      <c r="C61" s="125">
        <v>1</v>
      </c>
      <c r="D61" s="21" t="str">
        <f>'YEAR 3'!D61</f>
        <v>Graduate Student</v>
      </c>
      <c r="F61" s="120">
        <f>ROUND((VLOOKUP(D61,Salaries!$A$3:$I$370,8,FALSE))*(1+COLA/100)*(1+COLA/100)*(1+COLA/100),0)</f>
        <v>57322</v>
      </c>
      <c r="H61" s="385"/>
      <c r="I61" s="306"/>
      <c r="J61" s="307"/>
      <c r="K61" s="307"/>
      <c r="L61" s="385"/>
      <c r="M61" s="305"/>
      <c r="N61" s="307"/>
      <c r="O61" s="146"/>
      <c r="P61" s="739">
        <f>ROUND(F61/12*H61*J61+F61/12*L61*N61, 0)*C61</f>
        <v>0</v>
      </c>
      <c r="Q61" s="739"/>
      <c r="T61" s="323"/>
      <c r="U61" s="385"/>
      <c r="V61" s="305"/>
      <c r="W61" s="307"/>
      <c r="X61" s="307"/>
      <c r="Y61" s="385"/>
      <c r="Z61" s="305"/>
      <c r="AA61" s="307"/>
      <c r="AC61" s="739">
        <f>ROUND((VLOOKUP($D61,Salaries!$A$3:$I$370,9,FALSE)*U61*W61*(1+COLA/100)*(1+COLA/100)*(1+COLA/100))+(VLOOKUP($D61,Salaries!$A$3:$I$370,9,FALSE)*Y61*AA61*(1+COLA/100)*(1+COLA/100)*(1+COLA/100)),0)*C61</f>
        <v>0</v>
      </c>
      <c r="AD61" s="739"/>
      <c r="AE61" s="322"/>
      <c r="AH61" s="150">
        <f>U61+H61</f>
        <v>0</v>
      </c>
      <c r="AI61" s="150"/>
      <c r="AJ61" s="151">
        <f>W61+J61</f>
        <v>0</v>
      </c>
      <c r="AK61" s="152"/>
      <c r="AL61" s="150">
        <f>Y61+L61</f>
        <v>0</v>
      </c>
      <c r="AM61" s="150"/>
      <c r="AN61" s="151">
        <f>AA61+N61</f>
        <v>0</v>
      </c>
      <c r="AO61" s="109"/>
      <c r="AP61" s="765">
        <f>ROUND(SUM(P61:Q62)+SUM(AC61:AD62),0)</f>
        <v>0</v>
      </c>
      <c r="AQ61" s="765"/>
      <c r="AS61" s="323"/>
      <c r="AU61" s="322"/>
      <c r="AW61" s="107">
        <f>P61</f>
        <v>0</v>
      </c>
      <c r="AY61" s="107">
        <f>ROUND(AC61,0)</f>
        <v>0</v>
      </c>
      <c r="BA61" s="108">
        <f>ROUND(AY61+AW61,0)</f>
        <v>0</v>
      </c>
    </row>
    <row r="62" spans="1:59" x14ac:dyDescent="0.3">
      <c r="C62" s="125"/>
      <c r="D62" s="106" t="str">
        <f>"Fringe @ "&amp;TEXT(StuFRINGE+FrCOLA+FrCOLA+FrCOLA,"0.00%")</f>
        <v>Fringe @ 7.99%</v>
      </c>
      <c r="H62" s="121"/>
      <c r="I62" s="121"/>
      <c r="J62" s="121"/>
      <c r="K62" s="121"/>
      <c r="L62" s="121"/>
      <c r="M62" s="121"/>
      <c r="N62" s="121"/>
      <c r="O62" s="119"/>
      <c r="Q62" s="180">
        <f>ROUND(P61*StuFRINGE*(1+FrCOLA+FrCOLA+FrCOLA),0)</f>
        <v>0</v>
      </c>
      <c r="T62" s="323"/>
      <c r="U62" s="121"/>
      <c r="V62" s="121"/>
      <c r="W62" s="121"/>
      <c r="X62" s="121"/>
      <c r="Y62" s="121"/>
      <c r="Z62" s="121"/>
      <c r="AA62" s="121"/>
      <c r="AD62" s="180">
        <f>ROUND(AC61*StuFRINGE*(1+FrCOLA+FrCOLA+FrCOLA),0)</f>
        <v>0</v>
      </c>
      <c r="AE62" s="322"/>
      <c r="AH62" s="152"/>
      <c r="AI62" s="152"/>
      <c r="AJ62" s="152"/>
      <c r="AK62" s="152"/>
      <c r="AL62" s="150"/>
      <c r="AM62" s="150"/>
      <c r="AN62" s="150"/>
      <c r="AO62" s="109"/>
      <c r="AP62" s="765"/>
      <c r="AQ62" s="765"/>
      <c r="AS62" s="323"/>
      <c r="AU62" s="322"/>
      <c r="BC62" s="107">
        <f>ROUND(Q62,0)</f>
        <v>0</v>
      </c>
      <c r="BE62" s="107">
        <f>ROUND(AD62,0)</f>
        <v>0</v>
      </c>
      <c r="BG62" s="108">
        <f>ROUND(BE62+BC62,0)</f>
        <v>0</v>
      </c>
    </row>
    <row r="63" spans="1:59" ht="3" customHeight="1" x14ac:dyDescent="0.3">
      <c r="C63" s="125"/>
      <c r="D63" s="115"/>
      <c r="E63" s="115"/>
      <c r="F63" s="116"/>
      <c r="G63" s="116"/>
      <c r="L63" s="123"/>
      <c r="M63" s="123"/>
      <c r="N63" s="123"/>
      <c r="O63" s="124"/>
      <c r="T63" s="323"/>
      <c r="Y63" s="123"/>
      <c r="Z63" s="123"/>
      <c r="AA63" s="123"/>
      <c r="AE63" s="322"/>
      <c r="AH63" s="109"/>
      <c r="AI63" s="109"/>
      <c r="AJ63" s="109"/>
      <c r="AK63" s="109"/>
      <c r="AL63" s="154"/>
      <c r="AM63" s="154"/>
      <c r="AN63" s="154"/>
      <c r="AO63" s="109"/>
      <c r="AS63" s="323"/>
      <c r="AU63" s="322"/>
    </row>
    <row r="64" spans="1:59" ht="14.25" customHeight="1" x14ac:dyDescent="0.3">
      <c r="C64" s="125">
        <v>1</v>
      </c>
      <c r="D64" s="21" t="str">
        <f>'YEAR 3'!D64</f>
        <v>Undergraduate Student</v>
      </c>
      <c r="F64" s="120">
        <f>ROUND((VLOOKUP(D64,Salaries!$A$3:$I$370,8,FALSE))*(1+COLA/100)*(1+COLA/100)*(1+COLA/100),0)</f>
        <v>27274</v>
      </c>
      <c r="H64" s="385"/>
      <c r="I64" s="306"/>
      <c r="J64" s="307"/>
      <c r="K64" s="307"/>
      <c r="L64" s="385"/>
      <c r="M64" s="305"/>
      <c r="N64" s="307"/>
      <c r="O64" s="146"/>
      <c r="P64" s="739">
        <f>ROUND(F64/12*H64*J64+F64/12*L64*N64, 0)*C64</f>
        <v>0</v>
      </c>
      <c r="Q64" s="739"/>
      <c r="T64" s="323"/>
      <c r="U64" s="385"/>
      <c r="V64" s="305"/>
      <c r="W64" s="307"/>
      <c r="X64" s="307"/>
      <c r="Y64" s="385"/>
      <c r="Z64" s="305"/>
      <c r="AA64" s="307"/>
      <c r="AC64" s="739">
        <f>ROUND((VLOOKUP($D64,Salaries!$A$3:$I$370,9,FALSE)*U64*W64*(1+COLA/100)*(1+COLA/100)*(1+COLA/100))+(VLOOKUP($D64,Salaries!$A$3:$I$370,9,FALSE)*Y64*AA64*(1+COLA/100)*(1+COLA/100)*(1+COLA/100)),0)*C64</f>
        <v>0</v>
      </c>
      <c r="AD64" s="739"/>
      <c r="AE64" s="322"/>
      <c r="AH64" s="150">
        <f>U64+H64</f>
        <v>0</v>
      </c>
      <c r="AI64" s="150"/>
      <c r="AJ64" s="151">
        <f>W64+J64</f>
        <v>0</v>
      </c>
      <c r="AK64" s="152"/>
      <c r="AL64" s="150">
        <f>Y64+L64</f>
        <v>0</v>
      </c>
      <c r="AM64" s="150"/>
      <c r="AN64" s="151">
        <f>AA64+N64</f>
        <v>0</v>
      </c>
      <c r="AO64" s="109"/>
      <c r="AP64" s="765">
        <f>ROUND(SUM(P64:Q65)+SUM(AC64:AD65),0)</f>
        <v>0</v>
      </c>
      <c r="AQ64" s="765"/>
      <c r="AS64" s="323"/>
      <c r="AU64" s="322"/>
      <c r="AW64" s="107">
        <f>P64</f>
        <v>0</v>
      </c>
      <c r="AY64" s="107">
        <f>ROUND(AC64,0)</f>
        <v>0</v>
      </c>
      <c r="BA64" s="108">
        <f>ROUND(AY64+AW64,0)</f>
        <v>0</v>
      </c>
    </row>
    <row r="65" spans="1:59" x14ac:dyDescent="0.3">
      <c r="C65" s="125"/>
      <c r="D65" s="106" t="str">
        <f>"Fringe @ "&amp;TEXT(StuFRINGE+FrCOLA+FrCOLA+FrCOLA,"0.00%")</f>
        <v>Fringe @ 7.99%</v>
      </c>
      <c r="H65" s="122"/>
      <c r="I65" s="122"/>
      <c r="J65" s="122"/>
      <c r="K65" s="122"/>
      <c r="L65" s="121"/>
      <c r="M65" s="121"/>
      <c r="N65" s="121"/>
      <c r="O65" s="119"/>
      <c r="Q65" s="180">
        <f>ROUND(P64*StuFRINGE*(1+FrCOLA+FrCOLA+FrCOLA),0)</f>
        <v>0</v>
      </c>
      <c r="T65" s="323"/>
      <c r="U65" s="122"/>
      <c r="V65" s="122"/>
      <c r="W65" s="122"/>
      <c r="X65" s="122"/>
      <c r="Y65" s="121"/>
      <c r="Z65" s="121"/>
      <c r="AA65" s="121"/>
      <c r="AD65" s="180">
        <f>ROUND(AC64*StuFRINGE*(1+FrCOLA+FrCOLA+FrCOLA),0)</f>
        <v>0</v>
      </c>
      <c r="AE65" s="322"/>
      <c r="AH65" s="152"/>
      <c r="AI65" s="152"/>
      <c r="AJ65" s="152"/>
      <c r="AK65" s="152"/>
      <c r="AL65" s="150"/>
      <c r="AM65" s="150"/>
      <c r="AN65" s="150"/>
      <c r="AO65" s="109"/>
      <c r="AP65" s="765"/>
      <c r="AQ65" s="765"/>
      <c r="AS65" s="323"/>
      <c r="AU65" s="322"/>
      <c r="BC65" s="107">
        <f>ROUND(Q65,0)</f>
        <v>0</v>
      </c>
      <c r="BE65" s="107">
        <f>ROUND(AD65,0)</f>
        <v>0</v>
      </c>
      <c r="BG65" s="108">
        <f>ROUND(BE65+BC65,0)</f>
        <v>0</v>
      </c>
    </row>
    <row r="66" spans="1:59" ht="3" customHeight="1" x14ac:dyDescent="0.3">
      <c r="B66" s="773"/>
      <c r="C66" s="773"/>
      <c r="D66" s="773"/>
      <c r="E66" s="773"/>
      <c r="F66" s="773"/>
      <c r="G66" s="773"/>
      <c r="H66" s="773"/>
      <c r="I66" s="773"/>
      <c r="J66" s="773"/>
      <c r="K66" s="773"/>
      <c r="L66" s="773"/>
      <c r="P66" s="739"/>
      <c r="Q66" s="739"/>
      <c r="T66" s="323"/>
      <c r="AC66" s="739"/>
      <c r="AD66" s="739"/>
      <c r="AE66" s="322"/>
      <c r="AP66" s="737"/>
      <c r="AQ66" s="737"/>
      <c r="AS66" s="323"/>
      <c r="AU66" s="322"/>
    </row>
    <row r="67" spans="1:59" x14ac:dyDescent="0.3">
      <c r="B67" s="164" t="str">
        <f>CONCATENATE("TOTAL ",B45)</f>
        <v>TOTAL OTHER PERSONNEL</v>
      </c>
      <c r="C67" s="165"/>
      <c r="D67" s="166"/>
      <c r="E67" s="166"/>
      <c r="F67" s="167"/>
      <c r="G67" s="167"/>
      <c r="H67" s="165"/>
      <c r="I67" s="165"/>
      <c r="J67" s="165"/>
      <c r="K67" s="165"/>
      <c r="L67" s="165"/>
      <c r="M67" s="165"/>
      <c r="N67" s="165"/>
      <c r="O67" s="165"/>
      <c r="P67" s="761">
        <f>ROUND(SUM(P46:Q66),0)</f>
        <v>0</v>
      </c>
      <c r="Q67" s="761"/>
      <c r="R67" s="165"/>
      <c r="S67" s="165"/>
      <c r="T67" s="329"/>
      <c r="U67" s="165"/>
      <c r="V67" s="165"/>
      <c r="W67" s="165"/>
      <c r="X67" s="165"/>
      <c r="Y67" s="165"/>
      <c r="Z67" s="165"/>
      <c r="AA67" s="165"/>
      <c r="AB67" s="165"/>
      <c r="AC67" s="761">
        <f>ROUND(SUM(AC46:AD66),0)</f>
        <v>0</v>
      </c>
      <c r="AD67" s="761"/>
      <c r="AE67" s="330"/>
      <c r="AF67" s="165"/>
      <c r="AG67" s="165"/>
      <c r="AH67" s="165"/>
      <c r="AI67" s="165"/>
      <c r="AJ67" s="165"/>
      <c r="AK67" s="165"/>
      <c r="AL67" s="165"/>
      <c r="AM67" s="165"/>
      <c r="AN67" s="165"/>
      <c r="AO67" s="165"/>
      <c r="AP67" s="775">
        <f>ROUND(SUM(AP46:AQ66),0)</f>
        <v>0</v>
      </c>
      <c r="AQ67" s="775"/>
      <c r="AS67" s="323"/>
      <c r="AU67" s="322"/>
      <c r="AW67" s="128">
        <f>ROUND(SUM(AW12:AW66),0)</f>
        <v>0</v>
      </c>
      <c r="AX67" s="126"/>
      <c r="AY67" s="128">
        <f>ROUND(SUM(AY12:AY66),0)</f>
        <v>0</v>
      </c>
      <c r="AZ67" s="126"/>
      <c r="BA67" s="128">
        <f>ROUND(SUM(BA12:BA66),0)</f>
        <v>0</v>
      </c>
      <c r="BB67" s="126"/>
      <c r="BC67" s="128">
        <f>ROUND(SUM(BC12:BC66),0)</f>
        <v>0</v>
      </c>
      <c r="BD67" s="126"/>
      <c r="BE67" s="128">
        <f>ROUND(SUM(BE12:BE66),0)</f>
        <v>0</v>
      </c>
      <c r="BF67" s="126"/>
      <c r="BG67" s="128">
        <f>ROUND(SUM(BG12:BG66),0)</f>
        <v>0</v>
      </c>
    </row>
    <row r="68" spans="1:59" ht="3" customHeight="1" x14ac:dyDescent="0.3">
      <c r="D68" s="115"/>
      <c r="E68" s="115"/>
      <c r="F68" s="116"/>
      <c r="G68" s="116"/>
      <c r="T68" s="323"/>
      <c r="AE68" s="322"/>
      <c r="AS68" s="323"/>
      <c r="AU68" s="322"/>
      <c r="AY68" s="157" t="s">
        <v>800</v>
      </c>
      <c r="BE68" s="117" t="s">
        <v>801</v>
      </c>
    </row>
    <row r="69" spans="1:59" x14ac:dyDescent="0.3">
      <c r="A69" s="109" t="s">
        <v>184</v>
      </c>
      <c r="B69" s="109" t="s">
        <v>769</v>
      </c>
      <c r="C69" s="109"/>
      <c r="D69" s="115"/>
      <c r="E69" s="115"/>
      <c r="F69" s="116"/>
      <c r="G69" s="116"/>
      <c r="T69" s="323"/>
      <c r="AE69" s="322"/>
      <c r="AS69" s="323"/>
      <c r="AU69" s="322"/>
    </row>
    <row r="70" spans="1:59" x14ac:dyDescent="0.3">
      <c r="D70" s="115" t="s">
        <v>840</v>
      </c>
      <c r="E70" s="115"/>
      <c r="F70" s="116"/>
      <c r="G70" s="116"/>
      <c r="P70" s="739"/>
      <c r="Q70" s="739"/>
      <c r="T70" s="323"/>
      <c r="AC70" s="739"/>
      <c r="AD70" s="739"/>
      <c r="AE70" s="322"/>
      <c r="AP70" s="765">
        <f>ROUND(SUM(P70:AE70),0)</f>
        <v>0</v>
      </c>
      <c r="AQ70" s="765"/>
      <c r="AS70" s="519">
        <f>P70</f>
        <v>0</v>
      </c>
      <c r="AU70" s="520">
        <f>AC70</f>
        <v>0</v>
      </c>
    </row>
    <row r="71" spans="1:59" x14ac:dyDescent="0.3">
      <c r="D71" s="115"/>
      <c r="E71" s="115"/>
      <c r="F71" s="116"/>
      <c r="G71" s="116"/>
      <c r="P71" s="739"/>
      <c r="Q71" s="739"/>
      <c r="T71" s="323"/>
      <c r="AC71" s="739"/>
      <c r="AD71" s="739"/>
      <c r="AE71" s="322"/>
      <c r="AP71" s="765">
        <f>ROUND(SUM(P71:AE71),0)</f>
        <v>0</v>
      </c>
      <c r="AQ71" s="765"/>
      <c r="AS71" s="519">
        <f>P71</f>
        <v>0</v>
      </c>
      <c r="AU71" s="520">
        <f>AD71</f>
        <v>0</v>
      </c>
    </row>
    <row r="72" spans="1:59" x14ac:dyDescent="0.3">
      <c r="D72" s="115"/>
      <c r="E72" s="115"/>
      <c r="F72" s="116"/>
      <c r="G72" s="116"/>
      <c r="P72" s="739"/>
      <c r="Q72" s="739"/>
      <c r="T72" s="323"/>
      <c r="AC72" s="739"/>
      <c r="AD72" s="739"/>
      <c r="AE72" s="322"/>
      <c r="AP72" s="765">
        <f>ROUND(SUM(P72:AE72),0)</f>
        <v>0</v>
      </c>
      <c r="AQ72" s="765"/>
      <c r="AS72" s="519">
        <f>P72</f>
        <v>0</v>
      </c>
      <c r="AU72" s="520">
        <f>AD72</f>
        <v>0</v>
      </c>
    </row>
    <row r="73" spans="1:59" ht="12.75" customHeight="1" x14ac:dyDescent="0.3">
      <c r="D73" s="115"/>
      <c r="E73" s="115"/>
      <c r="F73" s="116"/>
      <c r="G73" s="116"/>
      <c r="P73" s="739"/>
      <c r="Q73" s="739"/>
      <c r="T73" s="323"/>
      <c r="AC73" s="739"/>
      <c r="AD73" s="739"/>
      <c r="AE73" s="322"/>
      <c r="AP73" s="765">
        <f t="shared" ref="AP73:AP74" si="0">ROUND(SUM(P73:AE73),0)</f>
        <v>0</v>
      </c>
      <c r="AQ73" s="765"/>
      <c r="AS73" s="519">
        <f>P73</f>
        <v>0</v>
      </c>
      <c r="AU73" s="520">
        <f>AD73</f>
        <v>0</v>
      </c>
    </row>
    <row r="74" spans="1:59" ht="12.75" customHeight="1" x14ac:dyDescent="0.3">
      <c r="D74" s="115"/>
      <c r="E74" s="115"/>
      <c r="F74" s="116"/>
      <c r="G74" s="116"/>
      <c r="P74" s="739"/>
      <c r="Q74" s="739"/>
      <c r="T74" s="323"/>
      <c r="AC74" s="739"/>
      <c r="AD74" s="739"/>
      <c r="AE74" s="322"/>
      <c r="AP74" s="765">
        <f t="shared" si="0"/>
        <v>0</v>
      </c>
      <c r="AQ74" s="765"/>
      <c r="AS74" s="519">
        <f>P74</f>
        <v>0</v>
      </c>
      <c r="AU74" s="520">
        <f>AD74</f>
        <v>0</v>
      </c>
    </row>
    <row r="75" spans="1:59" ht="3" customHeight="1" x14ac:dyDescent="0.3">
      <c r="B75" s="773"/>
      <c r="C75" s="773"/>
      <c r="D75" s="773"/>
      <c r="E75" s="773"/>
      <c r="F75" s="773"/>
      <c r="G75" s="773"/>
      <c r="H75" s="773"/>
      <c r="I75" s="773"/>
      <c r="J75" s="773"/>
      <c r="K75" s="773"/>
      <c r="L75" s="773"/>
      <c r="P75" s="739"/>
      <c r="Q75" s="739"/>
      <c r="T75" s="323"/>
      <c r="AC75" s="739"/>
      <c r="AD75" s="739"/>
      <c r="AE75" s="322"/>
      <c r="AP75" s="724"/>
      <c r="AQ75" s="724"/>
      <c r="AS75" s="323"/>
      <c r="AU75" s="322"/>
    </row>
    <row r="76" spans="1:59" x14ac:dyDescent="0.3">
      <c r="B76" s="164" t="str">
        <f>CONCATENATE("TOTAL ",B69)</f>
        <v>TOTAL EQUIPMENT</v>
      </c>
      <c r="C76" s="165"/>
      <c r="D76" s="168"/>
      <c r="E76" s="168"/>
      <c r="F76" s="169"/>
      <c r="G76" s="169"/>
      <c r="H76" s="165"/>
      <c r="I76" s="165"/>
      <c r="J76" s="165"/>
      <c r="K76" s="165"/>
      <c r="L76" s="165"/>
      <c r="M76" s="165"/>
      <c r="N76" s="165"/>
      <c r="O76" s="165"/>
      <c r="P76" s="761">
        <f>ROUND(SUM(P69:Q75),0)</f>
        <v>0</v>
      </c>
      <c r="Q76" s="761"/>
      <c r="R76" s="165"/>
      <c r="S76" s="165"/>
      <c r="T76" s="329"/>
      <c r="U76" s="165"/>
      <c r="V76" s="165"/>
      <c r="W76" s="165"/>
      <c r="X76" s="165"/>
      <c r="Y76" s="165"/>
      <c r="Z76" s="165"/>
      <c r="AA76" s="165"/>
      <c r="AB76" s="165"/>
      <c r="AC76" s="761">
        <f>ROUND(SUM(AC69:AD75),0)</f>
        <v>0</v>
      </c>
      <c r="AD76" s="761"/>
      <c r="AE76" s="330"/>
      <c r="AF76" s="165"/>
      <c r="AG76" s="165"/>
      <c r="AH76" s="165"/>
      <c r="AI76" s="165"/>
      <c r="AJ76" s="165"/>
      <c r="AK76" s="165"/>
      <c r="AL76" s="165"/>
      <c r="AM76" s="165"/>
      <c r="AN76" s="165"/>
      <c r="AO76" s="165"/>
      <c r="AP76" s="775">
        <f>ROUND(SUM(AP69:AQ75),0)</f>
        <v>0</v>
      </c>
      <c r="AQ76" s="775"/>
      <c r="AS76" s="323"/>
      <c r="AU76" s="322"/>
    </row>
    <row r="77" spans="1:59" ht="3" customHeight="1" x14ac:dyDescent="0.3">
      <c r="D77" s="115"/>
      <c r="E77" s="115"/>
      <c r="F77" s="116"/>
      <c r="G77" s="116"/>
      <c r="T77" s="323"/>
      <c r="AE77" s="322"/>
      <c r="AP77" s="157"/>
      <c r="AQ77" s="157"/>
      <c r="AS77" s="323"/>
      <c r="AU77" s="322"/>
    </row>
    <row r="78" spans="1:59" x14ac:dyDescent="0.3">
      <c r="A78" s="109" t="s">
        <v>670</v>
      </c>
      <c r="B78" s="109" t="s">
        <v>765</v>
      </c>
      <c r="C78" s="109"/>
      <c r="D78" s="115"/>
      <c r="E78" s="115"/>
      <c r="F78" s="116"/>
      <c r="G78" s="116"/>
      <c r="P78" s="295"/>
      <c r="Q78" s="295"/>
      <c r="T78" s="323"/>
      <c r="AC78" s="295"/>
      <c r="AD78" s="295"/>
      <c r="AE78" s="322"/>
      <c r="AP78" s="157"/>
      <c r="AQ78" s="129"/>
      <c r="AS78" s="323"/>
      <c r="AU78" s="322"/>
    </row>
    <row r="79" spans="1:59" ht="29.25" customHeight="1" x14ac:dyDescent="0.3">
      <c r="A79" s="109"/>
      <c r="B79" s="131" t="s">
        <v>802</v>
      </c>
      <c r="C79" s="109" t="s">
        <v>705</v>
      </c>
      <c r="D79" s="115"/>
      <c r="E79" s="115"/>
      <c r="F79" s="157" t="s">
        <v>175</v>
      </c>
      <c r="G79" s="157"/>
      <c r="H79" s="117" t="s">
        <v>803</v>
      </c>
      <c r="I79" s="117"/>
      <c r="J79" s="540" t="s">
        <v>804</v>
      </c>
      <c r="L79" s="540" t="s">
        <v>805</v>
      </c>
      <c r="M79" s="119"/>
      <c r="N79" s="119"/>
      <c r="P79" s="130"/>
      <c r="Q79" s="130"/>
      <c r="T79" s="323"/>
      <c r="Y79" s="119"/>
      <c r="Z79" s="119"/>
      <c r="AA79" s="119"/>
      <c r="AC79" s="295"/>
      <c r="AD79" s="295"/>
      <c r="AE79" s="322"/>
      <c r="AL79" s="119"/>
      <c r="AM79" s="119"/>
      <c r="AN79" s="119"/>
      <c r="AP79" s="157"/>
      <c r="AQ79" s="129"/>
      <c r="AS79" s="323"/>
      <c r="AU79" s="322"/>
    </row>
    <row r="80" spans="1:59" x14ac:dyDescent="0.3">
      <c r="B80" s="125"/>
      <c r="D80" s="106">
        <f>'YEAR 1'!D80</f>
        <v>0</v>
      </c>
      <c r="E80" s="115"/>
      <c r="F80" s="157"/>
      <c r="L80" s="119"/>
      <c r="M80" s="119"/>
      <c r="N80" s="119"/>
      <c r="P80" s="130"/>
      <c r="Q80" s="130"/>
      <c r="T80" s="323"/>
      <c r="AC80" s="739"/>
      <c r="AD80" s="739"/>
      <c r="AE80" s="322"/>
      <c r="AP80" s="765"/>
      <c r="AQ80" s="765"/>
      <c r="AS80" s="323"/>
      <c r="AU80" s="322"/>
    </row>
    <row r="81" spans="2:47" x14ac:dyDescent="0.3">
      <c r="B81" s="125"/>
      <c r="C81" s="106" t="s">
        <v>806</v>
      </c>
      <c r="D81" s="115"/>
      <c r="E81" s="115"/>
      <c r="F81" s="107">
        <v>750</v>
      </c>
      <c r="J81" s="106">
        <v>0</v>
      </c>
      <c r="L81" s="106">
        <v>1</v>
      </c>
      <c r="M81" s="119"/>
      <c r="N81" s="119"/>
      <c r="P81" s="724">
        <f>J81*F81*L81</f>
        <v>0</v>
      </c>
      <c r="Q81" s="724"/>
      <c r="T81" s="323"/>
      <c r="AC81" s="739"/>
      <c r="AD81" s="739"/>
      <c r="AE81" s="322"/>
      <c r="AP81" s="765">
        <f>ROUND(SUM(P81:AE81),0)</f>
        <v>0</v>
      </c>
      <c r="AQ81" s="765"/>
      <c r="AS81" s="323"/>
      <c r="AU81" s="322"/>
    </row>
    <row r="82" spans="2:47" x14ac:dyDescent="0.3">
      <c r="B82" s="125"/>
      <c r="C82" s="106" t="s">
        <v>807</v>
      </c>
      <c r="D82" s="115"/>
      <c r="E82" s="115"/>
      <c r="F82" s="107">
        <v>175</v>
      </c>
      <c r="H82" s="106">
        <v>0</v>
      </c>
      <c r="J82" s="106">
        <v>0</v>
      </c>
      <c r="L82" s="106">
        <v>1</v>
      </c>
      <c r="P82" s="724">
        <f>J82*F82*H82*L82</f>
        <v>0</v>
      </c>
      <c r="Q82" s="724"/>
      <c r="T82" s="323"/>
      <c r="AC82" s="739"/>
      <c r="AD82" s="739"/>
      <c r="AE82" s="322"/>
      <c r="AP82" s="765">
        <f>ROUND(SUM(P82:AE82),0)</f>
        <v>0</v>
      </c>
      <c r="AQ82" s="765"/>
      <c r="AS82" s="323"/>
      <c r="AU82" s="322"/>
    </row>
    <row r="83" spans="2:47" x14ac:dyDescent="0.3">
      <c r="B83" s="125"/>
      <c r="C83" s="106" t="s">
        <v>808</v>
      </c>
      <c r="D83" s="115"/>
      <c r="E83" s="115"/>
      <c r="F83" s="107">
        <f>Data!E40</f>
        <v>56</v>
      </c>
      <c r="H83" s="106">
        <v>0</v>
      </c>
      <c r="J83" s="106">
        <v>0</v>
      </c>
      <c r="L83" s="106">
        <v>1</v>
      </c>
      <c r="P83" s="724">
        <f t="shared" ref="P83" si="1">J83*F83*H83*L83</f>
        <v>0</v>
      </c>
      <c r="Q83" s="724"/>
      <c r="T83" s="323"/>
      <c r="AC83" s="739"/>
      <c r="AD83" s="739"/>
      <c r="AE83" s="322"/>
      <c r="AP83" s="765">
        <f>ROUND(SUM(P83:AE83),0)</f>
        <v>0</v>
      </c>
      <c r="AQ83" s="765"/>
      <c r="AS83" s="323"/>
      <c r="AU83" s="322"/>
    </row>
    <row r="84" spans="2:47" x14ac:dyDescent="0.3">
      <c r="B84" s="125"/>
      <c r="C84" s="482" t="s">
        <v>810</v>
      </c>
      <c r="D84" s="115"/>
      <c r="E84" s="115"/>
      <c r="F84" s="107">
        <v>150</v>
      </c>
      <c r="J84" s="106">
        <v>0</v>
      </c>
      <c r="L84" s="106">
        <v>1</v>
      </c>
      <c r="P84" s="724">
        <f>J84*F84*L84</f>
        <v>0</v>
      </c>
      <c r="Q84" s="724"/>
      <c r="T84" s="323"/>
      <c r="AC84" s="739"/>
      <c r="AD84" s="739"/>
      <c r="AE84" s="322"/>
      <c r="AP84" s="765">
        <f>ROUND(SUM(P84:AE84),0)</f>
        <v>0</v>
      </c>
      <c r="AQ84" s="765"/>
      <c r="AS84" s="323"/>
      <c r="AU84" s="322"/>
    </row>
    <row r="85" spans="2:47" ht="3" customHeight="1" x14ac:dyDescent="0.3">
      <c r="B85" s="125"/>
      <c r="C85" s="482"/>
      <c r="D85" s="115"/>
      <c r="E85" s="115"/>
      <c r="F85" s="180"/>
      <c r="P85" s="107"/>
      <c r="Q85" s="107"/>
      <c r="T85" s="323"/>
      <c r="AE85" s="322"/>
      <c r="AP85" s="608"/>
      <c r="AQ85" s="608"/>
      <c r="AS85" s="323"/>
      <c r="AU85" s="322"/>
    </row>
    <row r="86" spans="2:47" x14ac:dyDescent="0.3">
      <c r="B86" s="125"/>
      <c r="C86" s="482"/>
      <c r="D86" s="106">
        <f>'YEAR 1'!D86</f>
        <v>0</v>
      </c>
      <c r="E86" s="115"/>
      <c r="F86" s="180"/>
      <c r="P86" s="107"/>
      <c r="Q86" s="107"/>
      <c r="T86" s="323"/>
      <c r="AE86" s="322"/>
      <c r="AP86" s="608"/>
      <c r="AQ86" s="608"/>
      <c r="AS86" s="323"/>
      <c r="AU86" s="322"/>
    </row>
    <row r="87" spans="2:47" x14ac:dyDescent="0.3">
      <c r="B87" s="125"/>
      <c r="C87" s="106" t="s">
        <v>806</v>
      </c>
      <c r="D87" s="115"/>
      <c r="E87" s="115"/>
      <c r="F87" s="107">
        <v>750</v>
      </c>
      <c r="L87" s="106">
        <v>1</v>
      </c>
      <c r="P87" s="724">
        <f>J87*F87*L87</f>
        <v>0</v>
      </c>
      <c r="Q87" s="724"/>
      <c r="T87" s="323"/>
      <c r="AE87" s="322"/>
      <c r="AP87" s="765">
        <f>ROUND(SUM(P87:AE87),0)</f>
        <v>0</v>
      </c>
      <c r="AQ87" s="765"/>
      <c r="AS87" s="323"/>
      <c r="AU87" s="322"/>
    </row>
    <row r="88" spans="2:47" x14ac:dyDescent="0.3">
      <c r="B88" s="125"/>
      <c r="C88" s="106" t="s">
        <v>807</v>
      </c>
      <c r="D88" s="115"/>
      <c r="E88" s="115"/>
      <c r="F88" s="107">
        <v>175</v>
      </c>
      <c r="L88" s="106">
        <v>1</v>
      </c>
      <c r="P88" s="724">
        <f>J88*F88*H88*L88</f>
        <v>0</v>
      </c>
      <c r="Q88" s="724"/>
      <c r="T88" s="323"/>
      <c r="AE88" s="322"/>
      <c r="AP88" s="765">
        <f>ROUND(SUM(P88:AE88),0)</f>
        <v>0</v>
      </c>
      <c r="AQ88" s="765"/>
      <c r="AS88" s="323"/>
      <c r="AU88" s="322"/>
    </row>
    <row r="89" spans="2:47" x14ac:dyDescent="0.3">
      <c r="B89" s="125"/>
      <c r="C89" s="106" t="s">
        <v>808</v>
      </c>
      <c r="D89" s="115"/>
      <c r="E89" s="115"/>
      <c r="F89" s="107">
        <f>Data!E40</f>
        <v>56</v>
      </c>
      <c r="L89" s="106">
        <v>1</v>
      </c>
      <c r="P89" s="724">
        <f t="shared" ref="P89" si="2">J89*F89*H89*L89</f>
        <v>0</v>
      </c>
      <c r="Q89" s="724"/>
      <c r="T89" s="323"/>
      <c r="AE89" s="322"/>
      <c r="AP89" s="765">
        <f>ROUND(SUM(P89:AE89),0)</f>
        <v>0</v>
      </c>
      <c r="AQ89" s="765"/>
      <c r="AS89" s="323"/>
      <c r="AU89" s="322"/>
    </row>
    <row r="90" spans="2:47" x14ac:dyDescent="0.3">
      <c r="B90" s="125"/>
      <c r="C90" s="482" t="s">
        <v>810</v>
      </c>
      <c r="D90" s="115"/>
      <c r="E90" s="115"/>
      <c r="F90" s="107">
        <v>150</v>
      </c>
      <c r="L90" s="106">
        <v>1</v>
      </c>
      <c r="P90" s="724">
        <f>J90*F90*L90</f>
        <v>0</v>
      </c>
      <c r="Q90" s="724"/>
      <c r="T90" s="323"/>
      <c r="AE90" s="322"/>
      <c r="AP90" s="765">
        <f>ROUND(SUM(P90:AE90),0)</f>
        <v>0</v>
      </c>
      <c r="AQ90" s="765"/>
      <c r="AS90" s="323"/>
      <c r="AU90" s="322"/>
    </row>
    <row r="91" spans="2:47" ht="3" customHeight="1" x14ac:dyDescent="0.3">
      <c r="B91" s="125"/>
      <c r="D91" s="115"/>
      <c r="E91" s="115"/>
      <c r="F91" s="180"/>
      <c r="H91" s="134"/>
      <c r="I91" s="134"/>
      <c r="J91" s="134"/>
      <c r="K91" s="134"/>
      <c r="L91" s="134"/>
      <c r="P91" s="106"/>
      <c r="Q91" s="106"/>
      <c r="R91" s="134"/>
      <c r="S91" s="134"/>
      <c r="T91" s="325"/>
      <c r="U91" s="134"/>
      <c r="V91" s="134"/>
      <c r="W91" s="134"/>
      <c r="X91" s="134"/>
      <c r="Y91" s="134"/>
      <c r="Z91" s="134"/>
      <c r="AA91" s="134"/>
      <c r="AB91" s="134"/>
      <c r="AC91" s="763"/>
      <c r="AD91" s="763"/>
      <c r="AE91" s="326"/>
      <c r="AF91" s="134"/>
      <c r="AG91" s="134"/>
      <c r="AH91" s="134"/>
      <c r="AI91" s="134"/>
      <c r="AJ91" s="134"/>
      <c r="AK91" s="134"/>
      <c r="AL91" s="134"/>
      <c r="AM91" s="134"/>
      <c r="AN91" s="134"/>
      <c r="AO91" s="134"/>
      <c r="AP91" s="736"/>
      <c r="AQ91" s="736"/>
      <c r="AS91" s="323"/>
      <c r="AU91" s="322"/>
    </row>
    <row r="92" spans="2:47" x14ac:dyDescent="0.3">
      <c r="B92" s="125"/>
      <c r="C92" s="109" t="str">
        <f>"Subtotal "&amp;C79</f>
        <v>Subtotal Domestic Travel</v>
      </c>
      <c r="D92" s="500"/>
      <c r="E92" s="500"/>
      <c r="F92" s="502"/>
      <c r="G92" s="502"/>
      <c r="M92" s="155"/>
      <c r="N92" s="155"/>
      <c r="O92" s="155"/>
      <c r="P92" s="734">
        <f>ROUND(SUM(P80:Q91),0)</f>
        <v>0</v>
      </c>
      <c r="Q92" s="734"/>
      <c r="T92" s="323"/>
      <c r="AC92" s="774">
        <f>ROUND(SUM(AC80:AD91),0)</f>
        <v>0</v>
      </c>
      <c r="AD92" s="774"/>
      <c r="AE92" s="322"/>
      <c r="AP92" s="783">
        <f>ROUND(SUM(AP80:AQ91),0)</f>
        <v>0</v>
      </c>
      <c r="AQ92" s="783"/>
      <c r="AS92" s="323"/>
      <c r="AU92" s="322"/>
    </row>
    <row r="93" spans="2:47" ht="3" customHeight="1" x14ac:dyDescent="0.3">
      <c r="B93" s="125"/>
      <c r="D93" s="115"/>
      <c r="E93" s="115"/>
      <c r="F93" s="116"/>
      <c r="G93" s="116"/>
      <c r="P93" s="107"/>
      <c r="Q93" s="107"/>
      <c r="T93" s="323"/>
      <c r="AE93" s="322"/>
      <c r="AP93" s="157"/>
      <c r="AQ93" s="157"/>
      <c r="AS93" s="323"/>
      <c r="AU93" s="322"/>
    </row>
    <row r="94" spans="2:47" ht="29.25" customHeight="1" x14ac:dyDescent="0.3">
      <c r="B94" s="131" t="s">
        <v>811</v>
      </c>
      <c r="C94" s="109" t="s">
        <v>707</v>
      </c>
      <c r="D94" s="115"/>
      <c r="E94" s="115"/>
      <c r="F94" s="116"/>
      <c r="G94" s="116"/>
      <c r="H94" s="106" t="s">
        <v>803</v>
      </c>
      <c r="J94" s="540" t="s">
        <v>804</v>
      </c>
      <c r="L94" s="540" t="s">
        <v>812</v>
      </c>
      <c r="P94" s="107"/>
      <c r="Q94" s="107"/>
      <c r="T94" s="323"/>
      <c r="AE94" s="322"/>
      <c r="AP94" s="157"/>
      <c r="AQ94" s="157"/>
      <c r="AS94" s="323"/>
      <c r="AU94" s="322"/>
    </row>
    <row r="95" spans="2:47" x14ac:dyDescent="0.3">
      <c r="B95" s="125"/>
      <c r="C95" s="109"/>
      <c r="D95" s="106">
        <f>'YEAR 1'!D95</f>
        <v>0</v>
      </c>
      <c r="E95" s="115"/>
      <c r="F95" s="157"/>
      <c r="L95" s="119"/>
      <c r="M95" s="119"/>
      <c r="N95" s="119"/>
      <c r="P95" s="130"/>
      <c r="Q95" s="130"/>
      <c r="T95" s="323"/>
      <c r="AC95" s="739"/>
      <c r="AD95" s="739"/>
      <c r="AE95" s="322"/>
      <c r="AP95" s="765">
        <f>ROUND(SUM(P95:AE95),0)</f>
        <v>0</v>
      </c>
      <c r="AQ95" s="765"/>
      <c r="AS95" s="323"/>
      <c r="AU95" s="322"/>
    </row>
    <row r="96" spans="2:47" x14ac:dyDescent="0.3">
      <c r="B96" s="125"/>
      <c r="C96" s="106" t="s">
        <v>806</v>
      </c>
      <c r="D96" s="115"/>
      <c r="E96" s="115"/>
      <c r="F96" s="180">
        <v>1300</v>
      </c>
      <c r="G96" s="180"/>
      <c r="J96" s="106">
        <v>0</v>
      </c>
      <c r="L96" s="106">
        <v>1</v>
      </c>
      <c r="M96" s="119"/>
      <c r="N96" s="119"/>
      <c r="P96" s="724">
        <f>J96*F96*L96</f>
        <v>0</v>
      </c>
      <c r="Q96" s="724"/>
      <c r="T96" s="323"/>
      <c r="AC96" s="739"/>
      <c r="AD96" s="739"/>
      <c r="AE96" s="322"/>
      <c r="AP96" s="765">
        <f>ROUND(SUM(P96:AE96),0)</f>
        <v>0</v>
      </c>
      <c r="AQ96" s="765"/>
      <c r="AS96" s="323"/>
      <c r="AU96" s="322"/>
    </row>
    <row r="97" spans="1:47" x14ac:dyDescent="0.3">
      <c r="B97" s="125"/>
      <c r="C97" s="106" t="s">
        <v>807</v>
      </c>
      <c r="D97" s="115"/>
      <c r="E97" s="115"/>
      <c r="F97" s="180">
        <v>175</v>
      </c>
      <c r="G97" s="180"/>
      <c r="J97" s="106">
        <v>0</v>
      </c>
      <c r="L97" s="106">
        <v>1</v>
      </c>
      <c r="P97" s="724">
        <f>J97*F97*H97*L97</f>
        <v>0</v>
      </c>
      <c r="Q97" s="724"/>
      <c r="T97" s="323"/>
      <c r="AC97" s="739"/>
      <c r="AD97" s="739"/>
      <c r="AE97" s="322"/>
      <c r="AP97" s="765">
        <f>ROUND(SUM(P97:AE97),0)</f>
        <v>0</v>
      </c>
      <c r="AQ97" s="765"/>
      <c r="AS97" s="323"/>
      <c r="AU97" s="322"/>
    </row>
    <row r="98" spans="1:47" x14ac:dyDescent="0.3">
      <c r="B98" s="125"/>
      <c r="C98" s="106" t="s">
        <v>808</v>
      </c>
      <c r="D98" s="115"/>
      <c r="E98" s="115"/>
      <c r="F98" s="180">
        <f>'YEAR 1'!F98</f>
        <v>60</v>
      </c>
      <c r="G98" s="180"/>
      <c r="J98" s="106">
        <v>0</v>
      </c>
      <c r="L98" s="106">
        <v>1</v>
      </c>
      <c r="P98" s="724">
        <f t="shared" ref="P98" si="3">J98*F98*H98*L98</f>
        <v>0</v>
      </c>
      <c r="Q98" s="724"/>
      <c r="T98" s="323"/>
      <c r="AC98" s="739"/>
      <c r="AD98" s="739"/>
      <c r="AE98" s="322"/>
      <c r="AP98" s="765">
        <f>ROUND(SUM(P98:AE98),0)</f>
        <v>0</v>
      </c>
      <c r="AQ98" s="765"/>
      <c r="AS98" s="323"/>
      <c r="AU98" s="322"/>
    </row>
    <row r="99" spans="1:47" x14ac:dyDescent="0.3">
      <c r="B99" s="125"/>
      <c r="C99" s="482" t="s">
        <v>810</v>
      </c>
      <c r="D99" s="115"/>
      <c r="E99" s="115"/>
      <c r="F99" s="180">
        <v>200</v>
      </c>
      <c r="G99" s="180"/>
      <c r="J99" s="106">
        <v>0</v>
      </c>
      <c r="L99" s="106">
        <v>1</v>
      </c>
      <c r="P99" s="724">
        <f>J99*F99*L99</f>
        <v>0</v>
      </c>
      <c r="Q99" s="724"/>
      <c r="T99" s="323"/>
      <c r="AC99" s="739"/>
      <c r="AD99" s="739"/>
      <c r="AE99" s="322"/>
      <c r="AP99" s="765">
        <f>ROUND(SUM(P99:AE99),0)</f>
        <v>0</v>
      </c>
      <c r="AQ99" s="765"/>
      <c r="AS99" s="323"/>
      <c r="AU99" s="322"/>
    </row>
    <row r="100" spans="1:47" ht="3" customHeight="1" x14ac:dyDescent="0.3">
      <c r="B100" s="125"/>
      <c r="D100" s="115"/>
      <c r="E100" s="115"/>
      <c r="F100" s="180"/>
      <c r="P100" s="106"/>
      <c r="Q100" s="106"/>
      <c r="R100" s="134"/>
      <c r="S100" s="134"/>
      <c r="T100" s="325"/>
      <c r="U100" s="134"/>
      <c r="V100" s="134"/>
      <c r="W100" s="134"/>
      <c r="X100" s="134"/>
      <c r="Y100" s="134"/>
      <c r="Z100" s="134"/>
      <c r="AA100" s="134"/>
      <c r="AB100" s="134"/>
      <c r="AC100" s="763"/>
      <c r="AD100" s="763"/>
      <c r="AE100" s="326"/>
      <c r="AF100" s="134"/>
      <c r="AG100" s="134"/>
      <c r="AH100" s="134"/>
      <c r="AI100" s="134"/>
      <c r="AJ100" s="134"/>
      <c r="AK100" s="134"/>
      <c r="AL100" s="134"/>
      <c r="AM100" s="134"/>
      <c r="AN100" s="134"/>
      <c r="AO100" s="134"/>
      <c r="AP100" s="736"/>
      <c r="AQ100" s="736"/>
      <c r="AS100" s="323"/>
      <c r="AU100" s="322"/>
    </row>
    <row r="101" spans="1:47" x14ac:dyDescent="0.3">
      <c r="B101" s="125"/>
      <c r="C101" s="109" t="str">
        <f>"Subtotal "&amp;C94</f>
        <v>Subtotal International Travel</v>
      </c>
      <c r="D101" s="500"/>
      <c r="E101" s="500"/>
      <c r="F101" s="502"/>
      <c r="G101" s="502"/>
      <c r="H101" s="155"/>
      <c r="I101" s="155"/>
      <c r="J101" s="155"/>
      <c r="K101" s="155"/>
      <c r="L101" s="155"/>
      <c r="M101" s="155"/>
      <c r="N101" s="155"/>
      <c r="O101" s="155"/>
      <c r="P101" s="762">
        <f>ROUND(SUM(P95:Q100),0)</f>
        <v>0</v>
      </c>
      <c r="Q101" s="762"/>
      <c r="R101" s="155"/>
      <c r="S101" s="155"/>
      <c r="T101" s="317"/>
      <c r="U101" s="155"/>
      <c r="V101" s="155"/>
      <c r="W101" s="155"/>
      <c r="X101" s="155"/>
      <c r="Y101" s="155"/>
      <c r="Z101" s="155"/>
      <c r="AA101" s="155"/>
      <c r="AB101" s="155"/>
      <c r="AC101" s="762">
        <f>ROUND(SUM(AC95:AD100),0)</f>
        <v>0</v>
      </c>
      <c r="AD101" s="762"/>
      <c r="AE101" s="318"/>
      <c r="AF101" s="155"/>
      <c r="AG101" s="155"/>
      <c r="AH101" s="155"/>
      <c r="AI101" s="155"/>
      <c r="AJ101" s="155"/>
      <c r="AK101" s="155"/>
      <c r="AL101" s="155"/>
      <c r="AM101" s="155"/>
      <c r="AN101" s="155"/>
      <c r="AO101" s="155"/>
      <c r="AP101" s="783">
        <f>ROUND(SUM(AP95:AQ100),0)</f>
        <v>0</v>
      </c>
      <c r="AQ101" s="783"/>
      <c r="AS101" s="323"/>
      <c r="AU101" s="322"/>
    </row>
    <row r="102" spans="1:47" ht="3" customHeight="1" x14ac:dyDescent="0.3">
      <c r="B102" s="772"/>
      <c r="C102" s="772"/>
      <c r="D102" s="772"/>
      <c r="E102" s="772"/>
      <c r="F102" s="772"/>
      <c r="G102" s="772"/>
      <c r="H102" s="772"/>
      <c r="I102" s="772"/>
      <c r="J102" s="772"/>
      <c r="K102" s="772"/>
      <c r="L102" s="772"/>
      <c r="M102" s="134"/>
      <c r="N102" s="134"/>
      <c r="O102" s="134"/>
      <c r="P102" s="763"/>
      <c r="Q102" s="763"/>
      <c r="R102" s="134"/>
      <c r="S102" s="134"/>
      <c r="T102" s="325"/>
      <c r="U102" s="134"/>
      <c r="V102" s="134"/>
      <c r="W102" s="134"/>
      <c r="X102" s="134"/>
      <c r="Y102" s="134"/>
      <c r="Z102" s="134"/>
      <c r="AA102" s="134"/>
      <c r="AB102" s="134"/>
      <c r="AC102" s="763"/>
      <c r="AD102" s="763"/>
      <c r="AE102" s="326"/>
      <c r="AF102" s="134"/>
      <c r="AG102" s="134"/>
      <c r="AH102" s="134"/>
      <c r="AI102" s="134"/>
      <c r="AJ102" s="134"/>
      <c r="AK102" s="134"/>
      <c r="AL102" s="134"/>
      <c r="AM102" s="134"/>
      <c r="AN102" s="134"/>
      <c r="AO102" s="134"/>
      <c r="AP102" s="736"/>
      <c r="AQ102" s="736"/>
      <c r="AS102" s="323"/>
      <c r="AU102" s="322"/>
    </row>
    <row r="103" spans="1:47" x14ac:dyDescent="0.3">
      <c r="B103" s="158" t="str">
        <f>"TOTAL "&amp;B78</f>
        <v>TOTAL TRAVEL</v>
      </c>
      <c r="C103" s="159"/>
      <c r="D103" s="170"/>
      <c r="E103" s="170"/>
      <c r="F103" s="171"/>
      <c r="G103" s="171"/>
      <c r="H103" s="159"/>
      <c r="I103" s="159"/>
      <c r="J103" s="159"/>
      <c r="K103" s="159"/>
      <c r="L103" s="159"/>
      <c r="M103" s="159"/>
      <c r="N103" s="159"/>
      <c r="O103" s="159"/>
      <c r="P103" s="726">
        <f>ROUND(P101+P92,0)</f>
        <v>0</v>
      </c>
      <c r="Q103" s="726"/>
      <c r="R103" s="159"/>
      <c r="S103" s="159"/>
      <c r="T103" s="327"/>
      <c r="U103" s="159"/>
      <c r="V103" s="159"/>
      <c r="W103" s="159"/>
      <c r="X103" s="159"/>
      <c r="Y103" s="159"/>
      <c r="Z103" s="159"/>
      <c r="AA103" s="159"/>
      <c r="AB103" s="159"/>
      <c r="AC103" s="726">
        <f>ROUND(AC101+AC92,0)</f>
        <v>0</v>
      </c>
      <c r="AD103" s="726"/>
      <c r="AE103" s="328"/>
      <c r="AF103" s="159"/>
      <c r="AG103" s="159"/>
      <c r="AH103" s="159"/>
      <c r="AI103" s="159"/>
      <c r="AJ103" s="159"/>
      <c r="AK103" s="159"/>
      <c r="AL103" s="159"/>
      <c r="AM103" s="159"/>
      <c r="AN103" s="159"/>
      <c r="AO103" s="159"/>
      <c r="AP103" s="775">
        <f>ROUND(SUM(P103:AE103),0)</f>
        <v>0</v>
      </c>
      <c r="AQ103" s="775"/>
      <c r="AS103" s="323"/>
      <c r="AU103" s="322"/>
    </row>
    <row r="104" spans="1:47" ht="3" customHeight="1" x14ac:dyDescent="0.3">
      <c r="D104" s="115"/>
      <c r="E104" s="115"/>
      <c r="F104" s="116"/>
      <c r="G104" s="116"/>
      <c r="T104" s="323"/>
      <c r="AE104" s="322"/>
      <c r="AP104" s="157"/>
      <c r="AQ104" s="157"/>
      <c r="AS104" s="323"/>
      <c r="AU104" s="322"/>
    </row>
    <row r="105" spans="1:47" x14ac:dyDescent="0.3">
      <c r="A105" s="109" t="s">
        <v>672</v>
      </c>
      <c r="B105" s="109" t="s">
        <v>813</v>
      </c>
      <c r="D105" s="115"/>
      <c r="E105" s="115"/>
      <c r="F105" s="116"/>
      <c r="G105" s="116"/>
      <c r="T105" s="323"/>
      <c r="AE105" s="322"/>
      <c r="AP105" s="157"/>
      <c r="AQ105" s="157"/>
      <c r="AS105" s="323"/>
      <c r="AU105" s="322"/>
    </row>
    <row r="106" spans="1:47" x14ac:dyDescent="0.3">
      <c r="A106" s="109"/>
      <c r="B106" s="131" t="s">
        <v>802</v>
      </c>
      <c r="C106" s="109" t="s">
        <v>814</v>
      </c>
      <c r="D106" s="115"/>
      <c r="E106" s="115"/>
      <c r="F106" s="116"/>
      <c r="G106" s="116"/>
      <c r="T106" s="323"/>
      <c r="AE106" s="322"/>
      <c r="AP106" s="157"/>
      <c r="AQ106" s="157"/>
      <c r="AS106" s="323"/>
      <c r="AU106" s="322"/>
    </row>
    <row r="107" spans="1:47" x14ac:dyDescent="0.3">
      <c r="B107" s="125"/>
      <c r="D107" s="115"/>
      <c r="E107" s="115"/>
      <c r="F107" s="116"/>
      <c r="G107" s="116"/>
      <c r="P107" s="739"/>
      <c r="Q107" s="739"/>
      <c r="T107" s="323"/>
      <c r="AC107" s="739"/>
      <c r="AD107" s="739"/>
      <c r="AE107" s="322"/>
      <c r="AP107" s="765">
        <f>ROUND(SUM(P107:AE107),0)</f>
        <v>0</v>
      </c>
      <c r="AQ107" s="765"/>
      <c r="AS107" s="323"/>
      <c r="AU107" s="322"/>
    </row>
    <row r="108" spans="1:47" x14ac:dyDescent="0.3">
      <c r="B108" s="125"/>
      <c r="D108" s="115"/>
      <c r="E108" s="115"/>
      <c r="F108" s="116"/>
      <c r="G108" s="116"/>
      <c r="P108" s="739"/>
      <c r="Q108" s="739"/>
      <c r="T108" s="323"/>
      <c r="AC108" s="739"/>
      <c r="AD108" s="739"/>
      <c r="AE108" s="322"/>
      <c r="AP108" s="765">
        <f>ROUND(SUM(P108:AE108),0)</f>
        <v>0</v>
      </c>
      <c r="AQ108" s="765"/>
      <c r="AS108" s="323"/>
      <c r="AU108" s="322"/>
    </row>
    <row r="109" spans="1:47" x14ac:dyDescent="0.3">
      <c r="B109" s="125"/>
      <c r="D109" s="115"/>
      <c r="E109" s="115"/>
      <c r="F109" s="116"/>
      <c r="G109" s="116"/>
      <c r="P109" s="739"/>
      <c r="Q109" s="739"/>
      <c r="T109" s="323"/>
      <c r="AC109" s="739"/>
      <c r="AD109" s="739"/>
      <c r="AE109" s="322"/>
      <c r="AP109" s="765">
        <f>ROUND(SUM(P109:AE109),0)</f>
        <v>0</v>
      </c>
      <c r="AQ109" s="765"/>
      <c r="AS109" s="323"/>
      <c r="AU109" s="322"/>
    </row>
    <row r="110" spans="1:47" x14ac:dyDescent="0.3">
      <c r="B110" s="125"/>
      <c r="D110" s="115"/>
      <c r="E110" s="115"/>
      <c r="F110" s="116"/>
      <c r="G110" s="116"/>
      <c r="P110" s="739"/>
      <c r="Q110" s="739"/>
      <c r="T110" s="323"/>
      <c r="AC110" s="739"/>
      <c r="AD110" s="739"/>
      <c r="AE110" s="322"/>
      <c r="AP110" s="765">
        <f>ROUND(SUM(P110:AE110),0)</f>
        <v>0</v>
      </c>
      <c r="AQ110" s="765"/>
      <c r="AS110" s="323"/>
      <c r="AU110" s="322"/>
    </row>
    <row r="111" spans="1:47" x14ac:dyDescent="0.3">
      <c r="B111" s="125"/>
      <c r="D111" s="115"/>
      <c r="E111" s="115"/>
      <c r="F111" s="116"/>
      <c r="G111" s="116"/>
      <c r="P111" s="739"/>
      <c r="Q111" s="739"/>
      <c r="T111" s="323"/>
      <c r="AC111" s="739"/>
      <c r="AD111" s="739"/>
      <c r="AE111" s="322"/>
      <c r="AP111" s="765">
        <f>ROUND(SUM(P111:AE111),0)</f>
        <v>0</v>
      </c>
      <c r="AQ111" s="765"/>
      <c r="AS111" s="323"/>
      <c r="AU111" s="322"/>
    </row>
    <row r="112" spans="1:47" ht="4.5" customHeight="1" x14ac:dyDescent="0.3">
      <c r="B112" s="125"/>
      <c r="D112" s="132"/>
      <c r="E112" s="132"/>
      <c r="F112" s="133"/>
      <c r="G112" s="133"/>
      <c r="H112" s="134"/>
      <c r="I112" s="134"/>
      <c r="J112" s="134"/>
      <c r="K112" s="134"/>
      <c r="L112" s="134"/>
      <c r="M112" s="134"/>
      <c r="N112" s="134"/>
      <c r="O112" s="134"/>
      <c r="P112" s="763"/>
      <c r="Q112" s="763"/>
      <c r="R112" s="134"/>
      <c r="S112" s="134"/>
      <c r="T112" s="325"/>
      <c r="U112" s="134"/>
      <c r="V112" s="134"/>
      <c r="W112" s="134"/>
      <c r="X112" s="134"/>
      <c r="Y112" s="134"/>
      <c r="Z112" s="134"/>
      <c r="AA112" s="134"/>
      <c r="AB112" s="134"/>
      <c r="AC112" s="763"/>
      <c r="AD112" s="763"/>
      <c r="AE112" s="326"/>
      <c r="AF112" s="134"/>
      <c r="AG112" s="134"/>
      <c r="AH112" s="134"/>
      <c r="AI112" s="134"/>
      <c r="AJ112" s="134"/>
      <c r="AK112" s="134"/>
      <c r="AL112" s="134"/>
      <c r="AM112" s="134"/>
      <c r="AN112" s="134"/>
      <c r="AO112" s="134"/>
      <c r="AP112" s="736"/>
      <c r="AQ112" s="736"/>
      <c r="AS112" s="323"/>
      <c r="AU112" s="322"/>
    </row>
    <row r="113" spans="1:47" x14ac:dyDescent="0.3">
      <c r="B113" s="125"/>
      <c r="C113" s="109" t="str">
        <f>"Subtotal "&amp;C106</f>
        <v>Subtotal Tuition/Fees/Health Insurance</v>
      </c>
      <c r="D113" s="115"/>
      <c r="E113" s="115"/>
      <c r="F113" s="116"/>
      <c r="G113" s="116"/>
      <c r="P113" s="774">
        <f>ROUND(SUM(P107:Q112),0)</f>
        <v>0</v>
      </c>
      <c r="Q113" s="774"/>
      <c r="T113" s="323"/>
      <c r="AC113" s="774">
        <f>ROUND(SUM(AC107:AD112),0)</f>
        <v>0</v>
      </c>
      <c r="AD113" s="774"/>
      <c r="AE113" s="322"/>
      <c r="AP113" s="783">
        <f>ROUND(SUM(AP107:AQ112),0)</f>
        <v>0</v>
      </c>
      <c r="AQ113" s="783"/>
      <c r="AS113" s="323"/>
      <c r="AU113" s="322"/>
    </row>
    <row r="114" spans="1:47" ht="3.75" customHeight="1" x14ac:dyDescent="0.3">
      <c r="B114" s="125"/>
      <c r="C114" s="109"/>
      <c r="D114" s="115"/>
      <c r="E114" s="115"/>
      <c r="F114" s="116"/>
      <c r="G114" s="116"/>
      <c r="P114" s="278"/>
      <c r="Q114" s="278"/>
      <c r="T114" s="323"/>
      <c r="AC114" s="278"/>
      <c r="AD114" s="278"/>
      <c r="AE114" s="322"/>
      <c r="AS114" s="323"/>
      <c r="AU114" s="322"/>
    </row>
    <row r="115" spans="1:47" x14ac:dyDescent="0.3">
      <c r="A115" s="109"/>
      <c r="B115" s="131" t="s">
        <v>811</v>
      </c>
      <c r="C115" s="109" t="s">
        <v>713</v>
      </c>
      <c r="D115" s="115"/>
      <c r="E115" s="115"/>
      <c r="F115" s="116"/>
      <c r="G115" s="116"/>
      <c r="T115" s="323"/>
      <c r="AE115" s="322"/>
      <c r="AP115" s="157"/>
      <c r="AQ115" s="157"/>
      <c r="AS115" s="323"/>
      <c r="AU115" s="322"/>
    </row>
    <row r="116" spans="1:47" x14ac:dyDescent="0.3">
      <c r="B116" s="125"/>
      <c r="E116" s="115"/>
      <c r="F116" s="116"/>
      <c r="G116" s="116"/>
      <c r="P116" s="739"/>
      <c r="Q116" s="739"/>
      <c r="T116" s="323"/>
      <c r="AC116" s="739"/>
      <c r="AD116" s="739"/>
      <c r="AE116" s="322"/>
      <c r="AP116" s="765">
        <f>ROUND(SUM(P116:AE116),0)</f>
        <v>0</v>
      </c>
      <c r="AQ116" s="765"/>
      <c r="AS116" s="323"/>
      <c r="AU116" s="322"/>
    </row>
    <row r="117" spans="1:47" x14ac:dyDescent="0.3">
      <c r="B117" s="125"/>
      <c r="D117" s="115"/>
      <c r="E117" s="115"/>
      <c r="F117" s="116"/>
      <c r="G117" s="116"/>
      <c r="P117" s="739"/>
      <c r="Q117" s="739"/>
      <c r="T117" s="323"/>
      <c r="AC117" s="739"/>
      <c r="AD117" s="739"/>
      <c r="AE117" s="322"/>
      <c r="AP117" s="765">
        <f>ROUND(SUM(P117:AE117),0)</f>
        <v>0</v>
      </c>
      <c r="AQ117" s="765"/>
      <c r="AS117" s="323"/>
      <c r="AU117" s="322"/>
    </row>
    <row r="118" spans="1:47" x14ac:dyDescent="0.3">
      <c r="B118" s="125"/>
      <c r="D118" s="115"/>
      <c r="E118" s="115"/>
      <c r="F118" s="116"/>
      <c r="G118" s="116"/>
      <c r="P118" s="739"/>
      <c r="Q118" s="739"/>
      <c r="T118" s="323"/>
      <c r="AC118" s="739"/>
      <c r="AD118" s="739"/>
      <c r="AE118" s="322"/>
      <c r="AP118" s="765">
        <f>ROUND(SUM(P118:AE118),0)</f>
        <v>0</v>
      </c>
      <c r="AQ118" s="765"/>
      <c r="AS118" s="323"/>
      <c r="AU118" s="322"/>
    </row>
    <row r="119" spans="1:47" x14ac:dyDescent="0.3">
      <c r="B119" s="125"/>
      <c r="D119" s="115"/>
      <c r="E119" s="115"/>
      <c r="F119" s="116"/>
      <c r="G119" s="116"/>
      <c r="P119" s="739"/>
      <c r="Q119" s="739"/>
      <c r="T119" s="323"/>
      <c r="AC119" s="739"/>
      <c r="AD119" s="739"/>
      <c r="AE119" s="322"/>
      <c r="AP119" s="765">
        <f>ROUND(SUM(P119:AE119),0)</f>
        <v>0</v>
      </c>
      <c r="AQ119" s="765"/>
      <c r="AS119" s="323"/>
      <c r="AU119" s="322"/>
    </row>
    <row r="120" spans="1:47" x14ac:dyDescent="0.3">
      <c r="B120" s="125"/>
      <c r="D120" s="115"/>
      <c r="E120" s="115"/>
      <c r="F120" s="116"/>
      <c r="G120" s="116"/>
      <c r="P120" s="739"/>
      <c r="Q120" s="739"/>
      <c r="T120" s="323"/>
      <c r="AC120" s="739"/>
      <c r="AD120" s="739"/>
      <c r="AE120" s="322"/>
      <c r="AP120" s="765">
        <f>ROUND(SUM(P120:AE120),0)</f>
        <v>0</v>
      </c>
      <c r="AQ120" s="765"/>
      <c r="AS120" s="323"/>
      <c r="AU120" s="322"/>
    </row>
    <row r="121" spans="1:47" ht="4.5" customHeight="1" x14ac:dyDescent="0.3">
      <c r="B121" s="125"/>
      <c r="D121" s="132"/>
      <c r="E121" s="132"/>
      <c r="F121" s="133"/>
      <c r="G121" s="133"/>
      <c r="H121" s="134"/>
      <c r="I121" s="134"/>
      <c r="J121" s="134"/>
      <c r="K121" s="134"/>
      <c r="L121" s="134"/>
      <c r="M121" s="134"/>
      <c r="N121" s="134"/>
      <c r="O121" s="134"/>
      <c r="P121" s="763"/>
      <c r="Q121" s="763"/>
      <c r="R121" s="134"/>
      <c r="S121" s="134"/>
      <c r="T121" s="325"/>
      <c r="U121" s="134"/>
      <c r="V121" s="134"/>
      <c r="W121" s="134"/>
      <c r="X121" s="134"/>
      <c r="Y121" s="134"/>
      <c r="Z121" s="134"/>
      <c r="AA121" s="134"/>
      <c r="AB121" s="134"/>
      <c r="AC121" s="763"/>
      <c r="AD121" s="763"/>
      <c r="AE121" s="326"/>
      <c r="AF121" s="134"/>
      <c r="AG121" s="134"/>
      <c r="AH121" s="134"/>
      <c r="AI121" s="134"/>
      <c r="AJ121" s="134"/>
      <c r="AK121" s="134"/>
      <c r="AL121" s="134"/>
      <c r="AM121" s="134"/>
      <c r="AN121" s="134"/>
      <c r="AO121" s="134"/>
      <c r="AP121" s="736"/>
      <c r="AQ121" s="736"/>
      <c r="AS121" s="323"/>
      <c r="AU121" s="322"/>
    </row>
    <row r="122" spans="1:47" x14ac:dyDescent="0.3">
      <c r="B122" s="125"/>
      <c r="C122" s="109" t="str">
        <f>"Subtotal "&amp;C115</f>
        <v>Subtotal Stipends</v>
      </c>
      <c r="D122" s="115"/>
      <c r="E122" s="115"/>
      <c r="F122" s="116"/>
      <c r="G122" s="116"/>
      <c r="P122" s="774">
        <f>ROUND(SUM(P116:Q121),0)</f>
        <v>0</v>
      </c>
      <c r="Q122" s="774"/>
      <c r="T122" s="323"/>
      <c r="AC122" s="774">
        <f>ROUND(SUM(AC116:AD121),0)</f>
        <v>0</v>
      </c>
      <c r="AD122" s="774"/>
      <c r="AE122" s="322"/>
      <c r="AP122" s="783">
        <f>ROUND(SUM(AP116:AQ121),0)</f>
        <v>0</v>
      </c>
      <c r="AQ122" s="783"/>
      <c r="AS122" s="323"/>
      <c r="AU122" s="322"/>
    </row>
    <row r="123" spans="1:47" ht="3.75" customHeight="1" x14ac:dyDescent="0.3">
      <c r="B123" s="125"/>
      <c r="C123" s="109"/>
      <c r="D123" s="115"/>
      <c r="E123" s="115"/>
      <c r="F123" s="116"/>
      <c r="G123" s="116"/>
      <c r="P123" s="278"/>
      <c r="Q123" s="278"/>
      <c r="T123" s="323"/>
      <c r="AC123" s="278"/>
      <c r="AD123" s="278"/>
      <c r="AE123" s="322"/>
      <c r="AS123" s="323"/>
      <c r="AU123" s="322"/>
    </row>
    <row r="124" spans="1:47" x14ac:dyDescent="0.3">
      <c r="A124" s="109"/>
      <c r="B124" s="131" t="s">
        <v>815</v>
      </c>
      <c r="C124" s="109" t="s">
        <v>703</v>
      </c>
      <c r="D124" s="115"/>
      <c r="E124" s="115"/>
      <c r="F124" s="116"/>
      <c r="G124" s="116"/>
      <c r="T124" s="323"/>
      <c r="AE124" s="322"/>
      <c r="AP124" s="157"/>
      <c r="AQ124" s="157"/>
      <c r="AS124" s="323"/>
      <c r="AU124" s="322"/>
    </row>
    <row r="125" spans="1:47" x14ac:dyDescent="0.3">
      <c r="B125" s="125"/>
      <c r="D125" s="115"/>
      <c r="E125" s="115"/>
      <c r="F125" s="116"/>
      <c r="G125" s="116"/>
      <c r="P125" s="739"/>
      <c r="Q125" s="739"/>
      <c r="T125" s="323"/>
      <c r="AC125" s="739"/>
      <c r="AD125" s="739"/>
      <c r="AE125" s="322"/>
      <c r="AP125" s="765">
        <f>ROUND(SUM(P125:AE125),0)</f>
        <v>0</v>
      </c>
      <c r="AQ125" s="765"/>
      <c r="AS125" s="323"/>
      <c r="AU125" s="322"/>
    </row>
    <row r="126" spans="1:47" x14ac:dyDescent="0.3">
      <c r="B126" s="125"/>
      <c r="D126" s="115"/>
      <c r="E126" s="115"/>
      <c r="F126" s="116"/>
      <c r="G126" s="116"/>
      <c r="P126" s="739"/>
      <c r="Q126" s="739"/>
      <c r="T126" s="323"/>
      <c r="AC126" s="739"/>
      <c r="AD126" s="739"/>
      <c r="AE126" s="322"/>
      <c r="AP126" s="765">
        <f>ROUND(SUM(P126:AE126),0)</f>
        <v>0</v>
      </c>
      <c r="AQ126" s="765"/>
      <c r="AS126" s="323"/>
      <c r="AU126" s="322"/>
    </row>
    <row r="127" spans="1:47" x14ac:dyDescent="0.3">
      <c r="B127" s="125"/>
      <c r="D127" s="115"/>
      <c r="E127" s="115"/>
      <c r="F127" s="116"/>
      <c r="G127" s="116"/>
      <c r="P127" s="739"/>
      <c r="Q127" s="739"/>
      <c r="T127" s="323"/>
      <c r="AC127" s="739"/>
      <c r="AD127" s="739"/>
      <c r="AE127" s="322"/>
      <c r="AP127" s="765">
        <f>ROUND(SUM(P127:AE127),0)</f>
        <v>0</v>
      </c>
      <c r="AQ127" s="765"/>
      <c r="AS127" s="323"/>
      <c r="AU127" s="322"/>
    </row>
    <row r="128" spans="1:47" x14ac:dyDescent="0.3">
      <c r="B128" s="125"/>
      <c r="D128" s="115"/>
      <c r="E128" s="115"/>
      <c r="F128" s="116"/>
      <c r="G128" s="116"/>
      <c r="P128" s="739"/>
      <c r="Q128" s="739"/>
      <c r="T128" s="323"/>
      <c r="AC128" s="739"/>
      <c r="AD128" s="739"/>
      <c r="AE128" s="322"/>
      <c r="AP128" s="765">
        <f>ROUND(SUM(P128:AE128),0)</f>
        <v>0</v>
      </c>
      <c r="AQ128" s="765"/>
      <c r="AS128" s="323"/>
      <c r="AU128" s="322"/>
    </row>
    <row r="129" spans="1:47" x14ac:dyDescent="0.3">
      <c r="B129" s="125"/>
      <c r="D129" s="115"/>
      <c r="E129" s="115"/>
      <c r="F129" s="116"/>
      <c r="G129" s="116"/>
      <c r="P129" s="739"/>
      <c r="Q129" s="739"/>
      <c r="T129" s="323"/>
      <c r="AC129" s="739"/>
      <c r="AD129" s="739"/>
      <c r="AE129" s="322"/>
      <c r="AP129" s="765">
        <f>ROUND(SUM(P129:AE129),0)</f>
        <v>0</v>
      </c>
      <c r="AQ129" s="765"/>
      <c r="AS129" s="323"/>
      <c r="AU129" s="322"/>
    </row>
    <row r="130" spans="1:47" ht="4.5" customHeight="1" x14ac:dyDescent="0.3">
      <c r="B130" s="125"/>
      <c r="D130" s="132"/>
      <c r="E130" s="132"/>
      <c r="F130" s="133"/>
      <c r="G130" s="133"/>
      <c r="H130" s="134"/>
      <c r="I130" s="134"/>
      <c r="J130" s="134"/>
      <c r="K130" s="134"/>
      <c r="L130" s="134"/>
      <c r="M130" s="134"/>
      <c r="N130" s="134"/>
      <c r="O130" s="134"/>
      <c r="P130" s="763"/>
      <c r="Q130" s="763"/>
      <c r="R130" s="134"/>
      <c r="S130" s="134"/>
      <c r="T130" s="325"/>
      <c r="U130" s="134"/>
      <c r="V130" s="134"/>
      <c r="W130" s="134"/>
      <c r="X130" s="134"/>
      <c r="Y130" s="134"/>
      <c r="Z130" s="134"/>
      <c r="AA130" s="134"/>
      <c r="AB130" s="134"/>
      <c r="AC130" s="763"/>
      <c r="AD130" s="763"/>
      <c r="AE130" s="326"/>
      <c r="AF130" s="134"/>
      <c r="AG130" s="134"/>
      <c r="AH130" s="134"/>
      <c r="AI130" s="134"/>
      <c r="AJ130" s="134"/>
      <c r="AK130" s="134"/>
      <c r="AL130" s="134"/>
      <c r="AM130" s="134"/>
      <c r="AN130" s="134"/>
      <c r="AO130" s="134"/>
      <c r="AP130" s="736"/>
      <c r="AQ130" s="736"/>
      <c r="AS130" s="323"/>
      <c r="AU130" s="322"/>
    </row>
    <row r="131" spans="1:47" x14ac:dyDescent="0.3">
      <c r="B131" s="125"/>
      <c r="C131" s="109" t="str">
        <f>"Subtotal "&amp;C124</f>
        <v>Subtotal Travel</v>
      </c>
      <c r="D131" s="115"/>
      <c r="E131" s="115"/>
      <c r="F131" s="116"/>
      <c r="G131" s="116"/>
      <c r="P131" s="774">
        <f>ROUND(SUM(P125:Q130),0)</f>
        <v>0</v>
      </c>
      <c r="Q131" s="774"/>
      <c r="T131" s="323"/>
      <c r="AC131" s="774">
        <f>ROUND(SUM(AC125:AD130),0)</f>
        <v>0</v>
      </c>
      <c r="AD131" s="774"/>
      <c r="AE131" s="322"/>
      <c r="AP131" s="783">
        <f>ROUND(SUM(AP125:AQ130),0)</f>
        <v>0</v>
      </c>
      <c r="AQ131" s="783"/>
      <c r="AS131" s="323"/>
      <c r="AU131" s="322"/>
    </row>
    <row r="132" spans="1:47" ht="3.75" customHeight="1" x14ac:dyDescent="0.3">
      <c r="B132" s="125"/>
      <c r="C132" s="109"/>
      <c r="D132" s="115"/>
      <c r="E132" s="115"/>
      <c r="F132" s="116"/>
      <c r="G132" s="116"/>
      <c r="P132" s="278"/>
      <c r="Q132" s="278"/>
      <c r="T132" s="323"/>
      <c r="AC132" s="278"/>
      <c r="AD132" s="278"/>
      <c r="AE132" s="322"/>
      <c r="AS132" s="323"/>
      <c r="AU132" s="322"/>
    </row>
    <row r="133" spans="1:47" x14ac:dyDescent="0.3">
      <c r="A133" s="109"/>
      <c r="B133" s="131" t="s">
        <v>816</v>
      </c>
      <c r="C133" s="109" t="s">
        <v>714</v>
      </c>
      <c r="D133" s="115"/>
      <c r="E133" s="115"/>
      <c r="F133" s="116"/>
      <c r="G133" s="116"/>
      <c r="T133" s="323"/>
      <c r="AE133" s="322"/>
      <c r="AP133" s="157"/>
      <c r="AQ133" s="157"/>
      <c r="AS133" s="323"/>
      <c r="AU133" s="322"/>
    </row>
    <row r="134" spans="1:47" x14ac:dyDescent="0.3">
      <c r="B134" s="125"/>
      <c r="D134" s="115"/>
      <c r="E134" s="115"/>
      <c r="F134" s="116"/>
      <c r="G134" s="116"/>
      <c r="P134" s="739"/>
      <c r="Q134" s="739"/>
      <c r="T134" s="323"/>
      <c r="AC134" s="739"/>
      <c r="AD134" s="739"/>
      <c r="AE134" s="322"/>
      <c r="AP134" s="765">
        <f>ROUND(SUM(P134:AE134),0)</f>
        <v>0</v>
      </c>
      <c r="AQ134" s="765"/>
      <c r="AS134" s="323"/>
      <c r="AU134" s="322"/>
    </row>
    <row r="135" spans="1:47" x14ac:dyDescent="0.3">
      <c r="B135" s="125"/>
      <c r="D135" s="115"/>
      <c r="E135" s="115"/>
      <c r="F135" s="116"/>
      <c r="G135" s="116"/>
      <c r="P135" s="739"/>
      <c r="Q135" s="739"/>
      <c r="T135" s="323"/>
      <c r="AC135" s="739"/>
      <c r="AD135" s="739"/>
      <c r="AE135" s="322"/>
      <c r="AP135" s="765">
        <f>ROUND(SUM(P135:AE135),0)</f>
        <v>0</v>
      </c>
      <c r="AQ135" s="765"/>
      <c r="AS135" s="323"/>
      <c r="AU135" s="322"/>
    </row>
    <row r="136" spans="1:47" x14ac:dyDescent="0.3">
      <c r="B136" s="125"/>
      <c r="D136" s="115"/>
      <c r="E136" s="115"/>
      <c r="F136" s="116"/>
      <c r="G136" s="116"/>
      <c r="P136" s="739"/>
      <c r="Q136" s="739"/>
      <c r="T136" s="323"/>
      <c r="AC136" s="739"/>
      <c r="AD136" s="739"/>
      <c r="AE136" s="322"/>
      <c r="AP136" s="765">
        <f>ROUND(SUM(P136:AE136),0)</f>
        <v>0</v>
      </c>
      <c r="AQ136" s="765"/>
      <c r="AS136" s="323"/>
      <c r="AU136" s="322"/>
    </row>
    <row r="137" spans="1:47" x14ac:dyDescent="0.3">
      <c r="B137" s="125"/>
      <c r="D137" s="115"/>
      <c r="E137" s="115"/>
      <c r="F137" s="116"/>
      <c r="G137" s="116"/>
      <c r="P137" s="739"/>
      <c r="Q137" s="739"/>
      <c r="T137" s="323"/>
      <c r="AC137" s="739"/>
      <c r="AD137" s="739"/>
      <c r="AE137" s="322"/>
      <c r="AP137" s="765">
        <f>ROUND(SUM(P137:AE137),0)</f>
        <v>0</v>
      </c>
      <c r="AQ137" s="765"/>
      <c r="AS137" s="323"/>
      <c r="AU137" s="322"/>
    </row>
    <row r="138" spans="1:47" x14ac:dyDescent="0.3">
      <c r="B138" s="125"/>
      <c r="D138" s="115"/>
      <c r="E138" s="115"/>
      <c r="F138" s="116"/>
      <c r="G138" s="116"/>
      <c r="P138" s="739"/>
      <c r="Q138" s="739"/>
      <c r="T138" s="323"/>
      <c r="AC138" s="739"/>
      <c r="AD138" s="739"/>
      <c r="AE138" s="322"/>
      <c r="AP138" s="765">
        <f>ROUND(SUM(P138:AE138),0)</f>
        <v>0</v>
      </c>
      <c r="AQ138" s="765"/>
      <c r="AS138" s="323"/>
      <c r="AU138" s="322"/>
    </row>
    <row r="139" spans="1:47" ht="4.5" customHeight="1" x14ac:dyDescent="0.3">
      <c r="B139" s="125"/>
      <c r="D139" s="132"/>
      <c r="E139" s="132"/>
      <c r="F139" s="133"/>
      <c r="G139" s="133"/>
      <c r="H139" s="134"/>
      <c r="I139" s="134"/>
      <c r="J139" s="134"/>
      <c r="K139" s="134"/>
      <c r="L139" s="134"/>
      <c r="M139" s="134"/>
      <c r="N139" s="134"/>
      <c r="O139" s="134"/>
      <c r="P139" s="763"/>
      <c r="Q139" s="763"/>
      <c r="R139" s="134"/>
      <c r="S139" s="134"/>
      <c r="T139" s="325"/>
      <c r="U139" s="134"/>
      <c r="V139" s="134"/>
      <c r="W139" s="134"/>
      <c r="X139" s="134"/>
      <c r="Y139" s="134"/>
      <c r="Z139" s="134"/>
      <c r="AA139" s="134"/>
      <c r="AB139" s="134"/>
      <c r="AC139" s="763"/>
      <c r="AD139" s="763"/>
      <c r="AE139" s="326"/>
      <c r="AF139" s="134"/>
      <c r="AG139" s="134"/>
      <c r="AH139" s="134"/>
      <c r="AI139" s="134"/>
      <c r="AJ139" s="134"/>
      <c r="AK139" s="134"/>
      <c r="AL139" s="134"/>
      <c r="AM139" s="134"/>
      <c r="AN139" s="134"/>
      <c r="AO139" s="134"/>
      <c r="AP139" s="736"/>
      <c r="AQ139" s="736"/>
      <c r="AS139" s="323"/>
      <c r="AU139" s="322"/>
    </row>
    <row r="140" spans="1:47" x14ac:dyDescent="0.3">
      <c r="B140" s="125"/>
      <c r="C140" s="109" t="str">
        <f>"Subtotal "&amp;C133</f>
        <v>Subtotal Subsistence</v>
      </c>
      <c r="D140" s="115"/>
      <c r="E140" s="115"/>
      <c r="F140" s="116"/>
      <c r="G140" s="116"/>
      <c r="P140" s="774">
        <f>ROUND(SUM(P134:Q139),0)</f>
        <v>0</v>
      </c>
      <c r="Q140" s="774"/>
      <c r="T140" s="323"/>
      <c r="AC140" s="774">
        <f>ROUND(SUM(AC134:AD139),0)</f>
        <v>0</v>
      </c>
      <c r="AD140" s="774"/>
      <c r="AE140" s="322"/>
      <c r="AP140" s="783">
        <f>ROUND(SUM(AP134:AQ139),0)</f>
        <v>0</v>
      </c>
      <c r="AQ140" s="783"/>
      <c r="AS140" s="323"/>
      <c r="AU140" s="322"/>
    </row>
    <row r="141" spans="1:47" ht="9" customHeight="1" x14ac:dyDescent="0.3">
      <c r="B141" s="125"/>
      <c r="C141" s="109"/>
      <c r="D141" s="115"/>
      <c r="E141" s="115"/>
      <c r="F141" s="116"/>
      <c r="G141" s="116"/>
      <c r="P141" s="278"/>
      <c r="Q141" s="278"/>
      <c r="T141" s="323"/>
      <c r="AC141" s="278"/>
      <c r="AD141" s="278"/>
      <c r="AE141" s="322"/>
      <c r="AS141" s="323"/>
      <c r="AU141" s="322"/>
    </row>
    <row r="142" spans="1:47" x14ac:dyDescent="0.3">
      <c r="A142" s="109"/>
      <c r="B142" s="131" t="s">
        <v>817</v>
      </c>
      <c r="C142" s="109" t="s">
        <v>679</v>
      </c>
      <c r="D142" s="115"/>
      <c r="E142" s="115"/>
      <c r="F142" s="116"/>
      <c r="G142" s="116"/>
      <c r="T142" s="323"/>
      <c r="AE142" s="322"/>
      <c r="AP142" s="157"/>
      <c r="AQ142" s="157"/>
      <c r="AS142" s="323"/>
      <c r="AU142" s="322"/>
    </row>
    <row r="143" spans="1:47" x14ac:dyDescent="0.3">
      <c r="B143" s="125"/>
      <c r="D143" s="115"/>
      <c r="E143" s="115"/>
      <c r="F143" s="116"/>
      <c r="G143" s="116"/>
      <c r="P143" s="739"/>
      <c r="Q143" s="739"/>
      <c r="T143" s="323"/>
      <c r="AC143" s="739"/>
      <c r="AD143" s="739"/>
      <c r="AE143" s="322"/>
      <c r="AP143" s="765">
        <f>ROUND(SUM(P143:AE143),0)</f>
        <v>0</v>
      </c>
      <c r="AQ143" s="765"/>
      <c r="AS143" s="323"/>
      <c r="AU143" s="322"/>
    </row>
    <row r="144" spans="1:47" x14ac:dyDescent="0.3">
      <c r="B144" s="125"/>
      <c r="D144" s="115"/>
      <c r="E144" s="115"/>
      <c r="F144" s="116"/>
      <c r="G144" s="116"/>
      <c r="P144" s="739"/>
      <c r="Q144" s="739"/>
      <c r="T144" s="323"/>
      <c r="AC144" s="739"/>
      <c r="AD144" s="739"/>
      <c r="AE144" s="322"/>
      <c r="AP144" s="765">
        <f>ROUND(SUM(P144:AE144),0)</f>
        <v>0</v>
      </c>
      <c r="AQ144" s="765"/>
      <c r="AS144" s="323"/>
      <c r="AU144" s="322"/>
    </row>
    <row r="145" spans="1:47" x14ac:dyDescent="0.3">
      <c r="B145" s="125"/>
      <c r="D145" s="115"/>
      <c r="E145" s="115"/>
      <c r="F145" s="116"/>
      <c r="G145" s="116"/>
      <c r="P145" s="739"/>
      <c r="Q145" s="739"/>
      <c r="T145" s="323"/>
      <c r="AC145" s="739"/>
      <c r="AD145" s="739"/>
      <c r="AE145" s="322"/>
      <c r="AP145" s="765">
        <f>ROUND(SUM(P145:AE145),0)</f>
        <v>0</v>
      </c>
      <c r="AQ145" s="765"/>
      <c r="AS145" s="323"/>
      <c r="AU145" s="322"/>
    </row>
    <row r="146" spans="1:47" x14ac:dyDescent="0.3">
      <c r="B146" s="125"/>
      <c r="D146" s="115"/>
      <c r="E146" s="115"/>
      <c r="F146" s="116"/>
      <c r="G146" s="116"/>
      <c r="P146" s="739"/>
      <c r="Q146" s="739"/>
      <c r="T146" s="323"/>
      <c r="AC146" s="739"/>
      <c r="AD146" s="739"/>
      <c r="AE146" s="322"/>
      <c r="AP146" s="765">
        <f>ROUND(SUM(P146:AE146),0)</f>
        <v>0</v>
      </c>
      <c r="AQ146" s="765"/>
      <c r="AS146" s="323"/>
      <c r="AU146" s="322"/>
    </row>
    <row r="147" spans="1:47" x14ac:dyDescent="0.3">
      <c r="B147" s="125"/>
      <c r="D147" s="115"/>
      <c r="E147" s="115"/>
      <c r="F147" s="116"/>
      <c r="G147" s="116"/>
      <c r="P147" s="739"/>
      <c r="Q147" s="739"/>
      <c r="T147" s="323"/>
      <c r="AC147" s="739"/>
      <c r="AD147" s="739"/>
      <c r="AE147" s="322"/>
      <c r="AP147" s="765">
        <f>ROUND(SUM(P147:AE147),0)</f>
        <v>0</v>
      </c>
      <c r="AQ147" s="765"/>
      <c r="AS147" s="323"/>
      <c r="AU147" s="322"/>
    </row>
    <row r="148" spans="1:47" ht="4.5" customHeight="1" x14ac:dyDescent="0.3">
      <c r="B148" s="125"/>
      <c r="D148" s="132"/>
      <c r="E148" s="132"/>
      <c r="F148" s="133"/>
      <c r="G148" s="133"/>
      <c r="H148" s="134"/>
      <c r="I148" s="134"/>
      <c r="J148" s="134"/>
      <c r="K148" s="134"/>
      <c r="L148" s="134"/>
      <c r="M148" s="134"/>
      <c r="N148" s="134"/>
      <c r="O148" s="134"/>
      <c r="P148" s="763"/>
      <c r="Q148" s="763"/>
      <c r="R148" s="134"/>
      <c r="S148" s="134"/>
      <c r="T148" s="325"/>
      <c r="U148" s="134"/>
      <c r="V148" s="134"/>
      <c r="W148" s="134"/>
      <c r="X148" s="134"/>
      <c r="Y148" s="134"/>
      <c r="Z148" s="134"/>
      <c r="AA148" s="134"/>
      <c r="AB148" s="134"/>
      <c r="AC148" s="763"/>
      <c r="AD148" s="763"/>
      <c r="AE148" s="326"/>
      <c r="AF148" s="134"/>
      <c r="AG148" s="134"/>
      <c r="AH148" s="134"/>
      <c r="AI148" s="134"/>
      <c r="AJ148" s="134"/>
      <c r="AK148" s="134"/>
      <c r="AL148" s="134"/>
      <c r="AM148" s="134"/>
      <c r="AN148" s="134"/>
      <c r="AO148" s="134"/>
      <c r="AP148" s="736"/>
      <c r="AQ148" s="736"/>
      <c r="AS148" s="323"/>
      <c r="AU148" s="322"/>
    </row>
    <row r="149" spans="1:47" x14ac:dyDescent="0.3">
      <c r="B149" s="125"/>
      <c r="C149" s="109" t="str">
        <f>"Subtotal "&amp;C142</f>
        <v>Subtotal Other</v>
      </c>
      <c r="D149" s="115"/>
      <c r="E149" s="115"/>
      <c r="F149" s="116"/>
      <c r="G149" s="116"/>
      <c r="P149" s="774">
        <f>ROUND(SUM(P143:Q148),0)</f>
        <v>0</v>
      </c>
      <c r="Q149" s="774"/>
      <c r="T149" s="323"/>
      <c r="AC149" s="774">
        <f>ROUND(SUM(AC143:AD148),0)</f>
        <v>0</v>
      </c>
      <c r="AD149" s="774"/>
      <c r="AE149" s="322"/>
      <c r="AP149" s="783">
        <f>ROUND(SUM(AP143:AQ148),0)</f>
        <v>0</v>
      </c>
      <c r="AQ149" s="783"/>
      <c r="AS149" s="323"/>
      <c r="AU149" s="322"/>
    </row>
    <row r="150" spans="1:47" ht="3" customHeight="1" x14ac:dyDescent="0.3">
      <c r="B150" s="772"/>
      <c r="C150" s="772"/>
      <c r="D150" s="772"/>
      <c r="E150" s="772"/>
      <c r="F150" s="772"/>
      <c r="G150" s="772"/>
      <c r="H150" s="772"/>
      <c r="I150" s="772"/>
      <c r="J150" s="772"/>
      <c r="K150" s="772"/>
      <c r="L150" s="772"/>
      <c r="M150" s="134"/>
      <c r="N150" s="134"/>
      <c r="O150" s="134"/>
      <c r="P150" s="763"/>
      <c r="Q150" s="763"/>
      <c r="R150" s="134"/>
      <c r="S150" s="134"/>
      <c r="T150" s="325"/>
      <c r="U150" s="134"/>
      <c r="V150" s="134"/>
      <c r="W150" s="134"/>
      <c r="X150" s="134"/>
      <c r="Y150" s="134"/>
      <c r="Z150" s="134"/>
      <c r="AA150" s="134"/>
      <c r="AB150" s="134"/>
      <c r="AC150" s="763"/>
      <c r="AD150" s="763"/>
      <c r="AE150" s="326"/>
      <c r="AF150" s="134"/>
      <c r="AG150" s="134"/>
      <c r="AH150" s="134"/>
      <c r="AI150" s="134"/>
      <c r="AJ150" s="134"/>
      <c r="AK150" s="134"/>
      <c r="AL150" s="134"/>
      <c r="AM150" s="134"/>
      <c r="AN150" s="134"/>
      <c r="AO150" s="134"/>
      <c r="AP150" s="736"/>
      <c r="AQ150" s="736"/>
      <c r="AS150" s="323"/>
      <c r="AU150" s="322"/>
    </row>
    <row r="151" spans="1:47" x14ac:dyDescent="0.3">
      <c r="B151" s="158" t="str">
        <f>CONCATENATE("TOTAL ",B105)</f>
        <v>TOTAL PARTICIPANT/TRAINEE SUPPORT COSTS</v>
      </c>
      <c r="C151" s="159"/>
      <c r="D151" s="170"/>
      <c r="E151" s="170"/>
      <c r="F151" s="171"/>
      <c r="G151" s="171"/>
      <c r="H151" s="159"/>
      <c r="I151" s="159"/>
      <c r="J151" s="159"/>
      <c r="K151" s="159"/>
      <c r="L151" s="159"/>
      <c r="M151" s="159"/>
      <c r="N151" s="159"/>
      <c r="O151" s="159"/>
      <c r="P151" s="726">
        <f>ROUND(P113+P122+P131+P140+P149,0)</f>
        <v>0</v>
      </c>
      <c r="Q151" s="726"/>
      <c r="R151" s="159"/>
      <c r="S151" s="159"/>
      <c r="T151" s="327"/>
      <c r="U151" s="159"/>
      <c r="V151" s="159"/>
      <c r="W151" s="159"/>
      <c r="X151" s="159"/>
      <c r="Y151" s="159"/>
      <c r="Z151" s="159"/>
      <c r="AA151" s="159"/>
      <c r="AB151" s="159"/>
      <c r="AC151" s="726">
        <f>ROUND(AC113+AC122+AC131+AC140+AC149,0)</f>
        <v>0</v>
      </c>
      <c r="AD151" s="726"/>
      <c r="AE151" s="328"/>
      <c r="AF151" s="159"/>
      <c r="AG151" s="159"/>
      <c r="AH151" s="159"/>
      <c r="AI151" s="159"/>
      <c r="AJ151" s="159"/>
      <c r="AK151" s="159"/>
      <c r="AL151" s="159"/>
      <c r="AM151" s="159"/>
      <c r="AN151" s="159"/>
      <c r="AO151" s="159"/>
      <c r="AP151" s="775">
        <f>ROUND(SUM(AP105:AQ150),0)</f>
        <v>0</v>
      </c>
      <c r="AQ151" s="775"/>
      <c r="AS151" s="519">
        <f>P151</f>
        <v>0</v>
      </c>
      <c r="AU151" s="520">
        <f>AC151</f>
        <v>0</v>
      </c>
    </row>
    <row r="152" spans="1:47" ht="3" customHeight="1" x14ac:dyDescent="0.3">
      <c r="D152" s="115"/>
      <c r="E152" s="115"/>
      <c r="F152" s="116"/>
      <c r="G152" s="116"/>
      <c r="T152" s="323"/>
      <c r="AE152" s="322"/>
      <c r="AP152" s="157"/>
      <c r="AQ152" s="157"/>
      <c r="AS152" s="323"/>
      <c r="AU152" s="322"/>
    </row>
    <row r="153" spans="1:47" x14ac:dyDescent="0.3">
      <c r="A153" s="109" t="s">
        <v>674</v>
      </c>
      <c r="B153" s="109" t="s">
        <v>777</v>
      </c>
      <c r="C153" s="109"/>
      <c r="D153" s="115"/>
      <c r="E153" s="115"/>
      <c r="F153" s="116"/>
      <c r="G153" s="116"/>
      <c r="T153" s="323"/>
      <c r="AE153" s="322"/>
      <c r="AP153" s="157"/>
      <c r="AQ153" s="157"/>
      <c r="AS153" s="323"/>
      <c r="AU153" s="322"/>
    </row>
    <row r="154" spans="1:47" x14ac:dyDescent="0.3">
      <c r="A154" s="109"/>
      <c r="B154" s="131" t="s">
        <v>802</v>
      </c>
      <c r="C154" s="109" t="s">
        <v>720</v>
      </c>
      <c r="D154" s="115"/>
      <c r="E154" s="115"/>
      <c r="F154" s="116"/>
      <c r="G154" s="116"/>
      <c r="T154" s="323"/>
      <c r="AE154" s="322"/>
      <c r="AP154" s="157"/>
      <c r="AQ154" s="157"/>
      <c r="AS154" s="323"/>
      <c r="AU154" s="322"/>
    </row>
    <row r="155" spans="1:47" x14ac:dyDescent="0.3">
      <c r="B155" s="125"/>
      <c r="C155" s="113"/>
      <c r="D155" s="106">
        <f>'YEAR 3'!D155</f>
        <v>0</v>
      </c>
      <c r="E155" s="115"/>
      <c r="F155" s="116"/>
      <c r="G155" s="116"/>
      <c r="P155" s="739"/>
      <c r="Q155" s="739"/>
      <c r="T155" s="323"/>
      <c r="AC155" s="739"/>
      <c r="AD155" s="739"/>
      <c r="AE155" s="322"/>
      <c r="AP155" s="765">
        <f>ROUND(SUM(P155:AE155),0)</f>
        <v>0</v>
      </c>
      <c r="AQ155" s="765"/>
      <c r="AS155" s="323"/>
      <c r="AU155" s="322"/>
    </row>
    <row r="156" spans="1:47" x14ac:dyDescent="0.3">
      <c r="B156" s="125"/>
      <c r="C156" s="113"/>
      <c r="D156" s="106">
        <f>'YEAR 3'!D156</f>
        <v>0</v>
      </c>
      <c r="E156" s="115"/>
      <c r="F156" s="116"/>
      <c r="G156" s="116"/>
      <c r="P156" s="739"/>
      <c r="Q156" s="739"/>
      <c r="T156" s="323"/>
      <c r="AE156" s="322"/>
      <c r="AP156" s="608"/>
      <c r="AQ156" s="608"/>
      <c r="AS156" s="323"/>
      <c r="AU156" s="322"/>
    </row>
    <row r="157" spans="1:47" x14ac:dyDescent="0.3">
      <c r="B157" s="125"/>
      <c r="C157" s="113"/>
      <c r="D157" s="106">
        <f>'YEAR 3'!D157</f>
        <v>0</v>
      </c>
      <c r="E157" s="115"/>
      <c r="F157" s="116"/>
      <c r="G157" s="116"/>
      <c r="P157" s="739"/>
      <c r="Q157" s="739"/>
      <c r="T157" s="323"/>
      <c r="AE157" s="322"/>
      <c r="AP157" s="608"/>
      <c r="AQ157" s="608"/>
      <c r="AS157" s="323"/>
      <c r="AU157" s="322"/>
    </row>
    <row r="158" spans="1:47" x14ac:dyDescent="0.3">
      <c r="B158" s="125"/>
      <c r="C158" s="113"/>
      <c r="D158" s="106">
        <f>'YEAR 3'!D158</f>
        <v>0</v>
      </c>
      <c r="E158" s="115"/>
      <c r="F158" s="116"/>
      <c r="G158" s="116"/>
      <c r="P158" s="739"/>
      <c r="Q158" s="739"/>
      <c r="T158" s="323"/>
      <c r="AE158" s="322"/>
      <c r="AP158" s="608"/>
      <c r="AQ158" s="608"/>
      <c r="AS158" s="323"/>
      <c r="AU158" s="322"/>
    </row>
    <row r="159" spans="1:47" x14ac:dyDescent="0.3">
      <c r="B159" s="125"/>
      <c r="C159" s="113"/>
      <c r="D159" s="106">
        <f>'YEAR 3'!D159</f>
        <v>0</v>
      </c>
      <c r="E159" s="115"/>
      <c r="F159" s="116"/>
      <c r="G159" s="116"/>
      <c r="P159" s="739"/>
      <c r="Q159" s="739"/>
      <c r="T159" s="323"/>
      <c r="AE159" s="322"/>
      <c r="AP159" s="608"/>
      <c r="AQ159" s="608"/>
      <c r="AS159" s="323"/>
      <c r="AU159" s="322"/>
    </row>
    <row r="160" spans="1:47" x14ac:dyDescent="0.3">
      <c r="B160" s="125"/>
      <c r="C160" s="113"/>
      <c r="D160" s="106">
        <f>'YEAR 3'!D160</f>
        <v>0</v>
      </c>
      <c r="E160" s="115"/>
      <c r="F160" s="116"/>
      <c r="G160" s="116"/>
      <c r="P160" s="739"/>
      <c r="Q160" s="739"/>
      <c r="T160" s="323"/>
      <c r="AE160" s="322"/>
      <c r="AP160" s="608"/>
      <c r="AQ160" s="608"/>
      <c r="AS160" s="323"/>
      <c r="AU160" s="322"/>
    </row>
    <row r="161" spans="1:47" hidden="1" x14ac:dyDescent="0.3">
      <c r="B161" s="125"/>
      <c r="C161" s="113"/>
      <c r="D161" s="106">
        <f>'YEAR 3'!D161</f>
        <v>0</v>
      </c>
      <c r="E161" s="115"/>
      <c r="F161" s="116"/>
      <c r="G161" s="116"/>
      <c r="P161" s="739"/>
      <c r="Q161" s="739"/>
      <c r="T161" s="323"/>
      <c r="AC161" s="739"/>
      <c r="AD161" s="739"/>
      <c r="AE161" s="322"/>
      <c r="AP161" s="765">
        <f>ROUND(SUM(P161:AE161),0)</f>
        <v>0</v>
      </c>
      <c r="AQ161" s="765"/>
      <c r="AS161" s="323"/>
      <c r="AU161" s="322"/>
    </row>
    <row r="162" spans="1:47" hidden="1" x14ac:dyDescent="0.3">
      <c r="B162" s="125"/>
      <c r="C162" s="113"/>
      <c r="D162" s="106">
        <f>'YEAR 3'!D162</f>
        <v>0</v>
      </c>
      <c r="E162" s="115"/>
      <c r="F162" s="116"/>
      <c r="G162" s="116"/>
      <c r="P162" s="739"/>
      <c r="Q162" s="739"/>
      <c r="T162" s="323"/>
      <c r="AC162" s="739"/>
      <c r="AD162" s="739"/>
      <c r="AE162" s="322"/>
      <c r="AP162" s="765">
        <f>ROUND(SUM(P162:AE162),0)</f>
        <v>0</v>
      </c>
      <c r="AQ162" s="765"/>
      <c r="AS162" s="323"/>
      <c r="AU162" s="322"/>
    </row>
    <row r="163" spans="1:47" hidden="1" x14ac:dyDescent="0.3">
      <c r="B163" s="125"/>
      <c r="D163" s="106">
        <f>'YEAR 3'!D163</f>
        <v>0</v>
      </c>
      <c r="E163" s="115"/>
      <c r="F163" s="116"/>
      <c r="G163" s="116"/>
      <c r="P163" s="739"/>
      <c r="Q163" s="739"/>
      <c r="T163" s="323"/>
      <c r="AC163" s="739"/>
      <c r="AD163" s="739"/>
      <c r="AE163" s="322"/>
      <c r="AP163" s="765">
        <f>ROUND(SUM(P163:AE163),0)</f>
        <v>0</v>
      </c>
      <c r="AQ163" s="765"/>
      <c r="AS163" s="323"/>
      <c r="AU163" s="322"/>
    </row>
    <row r="164" spans="1:47" hidden="1" x14ac:dyDescent="0.3">
      <c r="B164" s="125"/>
      <c r="D164" s="106">
        <f>'YEAR 3'!D164</f>
        <v>0</v>
      </c>
      <c r="E164" s="115"/>
      <c r="F164" s="116"/>
      <c r="G164" s="116"/>
      <c r="P164" s="739"/>
      <c r="Q164" s="739"/>
      <c r="T164" s="323"/>
      <c r="AC164" s="739"/>
      <c r="AD164" s="739"/>
      <c r="AE164" s="322"/>
      <c r="AP164" s="765">
        <f>ROUND(SUM(P164:AE164),0)</f>
        <v>0</v>
      </c>
      <c r="AQ164" s="765"/>
      <c r="AS164" s="323"/>
      <c r="AU164" s="322"/>
    </row>
    <row r="165" spans="1:47" ht="3" customHeight="1" x14ac:dyDescent="0.3">
      <c r="B165" s="125"/>
      <c r="D165" s="132"/>
      <c r="E165" s="132"/>
      <c r="F165" s="133"/>
      <c r="G165" s="133"/>
      <c r="H165" s="134"/>
      <c r="I165" s="134"/>
      <c r="J165" s="134"/>
      <c r="K165" s="134"/>
      <c r="L165" s="134"/>
      <c r="M165" s="134"/>
      <c r="N165" s="134"/>
      <c r="O165" s="134"/>
      <c r="P165" s="763"/>
      <c r="Q165" s="763"/>
      <c r="R165" s="134"/>
      <c r="S165" s="134"/>
      <c r="T165" s="325"/>
      <c r="U165" s="134"/>
      <c r="V165" s="134"/>
      <c r="W165" s="134"/>
      <c r="X165" s="134"/>
      <c r="Y165" s="134"/>
      <c r="Z165" s="134"/>
      <c r="AA165" s="134"/>
      <c r="AB165" s="134"/>
      <c r="AC165" s="763"/>
      <c r="AD165" s="763"/>
      <c r="AE165" s="326"/>
      <c r="AF165" s="134"/>
      <c r="AG165" s="134"/>
      <c r="AH165" s="134"/>
      <c r="AI165" s="134"/>
      <c r="AJ165" s="134"/>
      <c r="AK165" s="134"/>
      <c r="AL165" s="134"/>
      <c r="AM165" s="134"/>
      <c r="AN165" s="134"/>
      <c r="AO165" s="134"/>
      <c r="AP165" s="736"/>
      <c r="AQ165" s="736"/>
      <c r="AS165" s="323"/>
      <c r="AU165" s="322"/>
    </row>
    <row r="166" spans="1:47" x14ac:dyDescent="0.3">
      <c r="B166" s="125"/>
      <c r="C166" s="109" t="str">
        <f>"Subtotal "&amp;C154</f>
        <v>Subtotal Materials &amp; Supplies</v>
      </c>
      <c r="D166" s="115"/>
      <c r="E166" s="115"/>
      <c r="F166" s="116"/>
      <c r="G166" s="116"/>
      <c r="P166" s="774">
        <f>ROUND(SUM(P155:Q165),0)</f>
        <v>0</v>
      </c>
      <c r="Q166" s="774"/>
      <c r="T166" s="323"/>
      <c r="AC166" s="774">
        <f>ROUND(SUM(AC155:AD165),0)</f>
        <v>0</v>
      </c>
      <c r="AD166" s="774"/>
      <c r="AE166" s="322"/>
      <c r="AP166" s="783">
        <f>ROUND(SUM(AP155:AQ165),0)</f>
        <v>0</v>
      </c>
      <c r="AQ166" s="783"/>
      <c r="AS166" s="323"/>
      <c r="AU166" s="322"/>
    </row>
    <row r="167" spans="1:47" ht="3" customHeight="1" x14ac:dyDescent="0.3">
      <c r="B167" s="125"/>
      <c r="C167" s="109"/>
      <c r="D167" s="115"/>
      <c r="E167" s="115"/>
      <c r="F167" s="116"/>
      <c r="G167" s="116"/>
      <c r="P167" s="278"/>
      <c r="Q167" s="278"/>
      <c r="T167" s="323"/>
      <c r="AC167" s="278"/>
      <c r="AD167" s="278"/>
      <c r="AE167" s="322"/>
      <c r="AS167" s="323"/>
      <c r="AU167" s="322"/>
    </row>
    <row r="168" spans="1:47" x14ac:dyDescent="0.3">
      <c r="A168" s="109"/>
      <c r="B168" s="131" t="s">
        <v>811</v>
      </c>
      <c r="C168" s="109" t="s">
        <v>818</v>
      </c>
      <c r="D168" s="115"/>
      <c r="E168" s="115"/>
      <c r="F168" s="116"/>
      <c r="G168" s="116"/>
      <c r="T168" s="323"/>
      <c r="AE168" s="322"/>
      <c r="AP168" s="157"/>
      <c r="AQ168" s="157"/>
      <c r="AS168" s="323"/>
      <c r="AU168" s="322"/>
    </row>
    <row r="169" spans="1:47" x14ac:dyDescent="0.3">
      <c r="B169" s="125"/>
      <c r="D169" s="106" t="str">
        <f>'YEAR 3'!D169</f>
        <v xml:space="preserve">Publication </v>
      </c>
      <c r="E169" s="115"/>
      <c r="F169" s="116"/>
      <c r="G169" s="116"/>
      <c r="P169" s="739"/>
      <c r="Q169" s="739"/>
      <c r="T169" s="323"/>
      <c r="AC169" s="739"/>
      <c r="AD169" s="739"/>
      <c r="AE169" s="322"/>
      <c r="AP169" s="765">
        <f>ROUND(SUM(P169:AE169),0)</f>
        <v>0</v>
      </c>
      <c r="AQ169" s="765"/>
      <c r="AS169" s="323"/>
      <c r="AU169" s="322"/>
    </row>
    <row r="170" spans="1:47" x14ac:dyDescent="0.3">
      <c r="B170" s="125"/>
      <c r="D170" s="106">
        <f>'YEAR 3'!D170</f>
        <v>0</v>
      </c>
      <c r="E170" s="115"/>
      <c r="F170" s="116"/>
      <c r="G170" s="116"/>
      <c r="P170" s="739"/>
      <c r="Q170" s="739"/>
      <c r="T170" s="323"/>
      <c r="AC170" s="739"/>
      <c r="AD170" s="739"/>
      <c r="AE170" s="322"/>
      <c r="AP170" s="765">
        <f>ROUND(SUM(P170:AE170),0)</f>
        <v>0</v>
      </c>
      <c r="AQ170" s="765"/>
      <c r="AS170" s="323"/>
      <c r="AU170" s="322"/>
    </row>
    <row r="171" spans="1:47" x14ac:dyDescent="0.3">
      <c r="B171" s="125"/>
      <c r="D171" s="106">
        <f>'YEAR 3'!D171</f>
        <v>0</v>
      </c>
      <c r="E171" s="115"/>
      <c r="F171" s="116"/>
      <c r="G171" s="116"/>
      <c r="P171" s="739"/>
      <c r="Q171" s="739"/>
      <c r="T171" s="323"/>
      <c r="AC171" s="739"/>
      <c r="AD171" s="739"/>
      <c r="AE171" s="322"/>
      <c r="AP171" s="765">
        <f>ROUND(SUM(P171:AE171),0)</f>
        <v>0</v>
      </c>
      <c r="AQ171" s="765"/>
      <c r="AS171" s="323"/>
      <c r="AU171" s="322"/>
    </row>
    <row r="172" spans="1:47" x14ac:dyDescent="0.3">
      <c r="B172" s="125"/>
      <c r="D172" s="106">
        <f>'YEAR 3'!D172</f>
        <v>0</v>
      </c>
      <c r="E172" s="115"/>
      <c r="F172" s="116"/>
      <c r="G172" s="116"/>
      <c r="P172" s="739"/>
      <c r="Q172" s="739"/>
      <c r="T172" s="323"/>
      <c r="AC172" s="739"/>
      <c r="AD172" s="739"/>
      <c r="AE172" s="322"/>
      <c r="AP172" s="765">
        <f>ROUND(SUM(P172:AE172),0)</f>
        <v>0</v>
      </c>
      <c r="AQ172" s="765"/>
      <c r="AS172" s="323"/>
      <c r="AU172" s="322"/>
    </row>
    <row r="173" spans="1:47" x14ac:dyDescent="0.3">
      <c r="B173" s="125"/>
      <c r="D173" s="106">
        <f>'YEAR 3'!D173</f>
        <v>0</v>
      </c>
      <c r="E173" s="115"/>
      <c r="F173" s="116"/>
      <c r="G173" s="116"/>
      <c r="P173" s="739"/>
      <c r="Q173" s="739"/>
      <c r="T173" s="323"/>
      <c r="AC173" s="739"/>
      <c r="AD173" s="739"/>
      <c r="AE173" s="322"/>
      <c r="AP173" s="765">
        <f>ROUND(SUM(P173:AE173),0)</f>
        <v>0</v>
      </c>
      <c r="AQ173" s="765"/>
      <c r="AS173" s="323"/>
      <c r="AU173" s="322"/>
    </row>
    <row r="174" spans="1:47" ht="3" customHeight="1" x14ac:dyDescent="0.3">
      <c r="B174" s="125"/>
      <c r="D174" s="132"/>
      <c r="E174" s="132"/>
      <c r="F174" s="133"/>
      <c r="G174" s="133"/>
      <c r="H174" s="134"/>
      <c r="I174" s="134"/>
      <c r="J174" s="134"/>
      <c r="K174" s="134"/>
      <c r="L174" s="134"/>
      <c r="M174" s="134"/>
      <c r="N174" s="134"/>
      <c r="O174" s="134"/>
      <c r="P174" s="763"/>
      <c r="Q174" s="763"/>
      <c r="R174" s="134"/>
      <c r="S174" s="134"/>
      <c r="T174" s="325"/>
      <c r="U174" s="134"/>
      <c r="V174" s="134"/>
      <c r="W174" s="134"/>
      <c r="X174" s="134"/>
      <c r="Y174" s="134"/>
      <c r="Z174" s="134"/>
      <c r="AA174" s="134"/>
      <c r="AB174" s="134"/>
      <c r="AC174" s="763"/>
      <c r="AD174" s="763"/>
      <c r="AE174" s="326"/>
      <c r="AF174" s="134"/>
      <c r="AG174" s="134"/>
      <c r="AH174" s="134"/>
      <c r="AI174" s="134"/>
      <c r="AJ174" s="134"/>
      <c r="AK174" s="134"/>
      <c r="AL174" s="134"/>
      <c r="AM174" s="134"/>
      <c r="AN174" s="134"/>
      <c r="AO174" s="134"/>
      <c r="AP174" s="736"/>
      <c r="AQ174" s="736"/>
      <c r="AS174" s="323"/>
      <c r="AU174" s="322"/>
    </row>
    <row r="175" spans="1:47" x14ac:dyDescent="0.3">
      <c r="B175" s="125"/>
      <c r="C175" s="109" t="str">
        <f>"Subtotal "&amp;C168</f>
        <v>Subtotal Publications</v>
      </c>
      <c r="D175" s="115"/>
      <c r="E175" s="115"/>
      <c r="F175" s="116"/>
      <c r="G175" s="116"/>
      <c r="P175" s="774">
        <f>ROUND(SUM(P169:Q174),0)</f>
        <v>0</v>
      </c>
      <c r="Q175" s="774"/>
      <c r="T175" s="323"/>
      <c r="AC175" s="774">
        <f>ROUND(SUM(AC169:AD174),0)</f>
        <v>0</v>
      </c>
      <c r="AD175" s="774"/>
      <c r="AE175" s="322"/>
      <c r="AP175" s="783">
        <f>ROUND(SUM(AP169:AQ174),0)</f>
        <v>0</v>
      </c>
      <c r="AQ175" s="783"/>
      <c r="AS175" s="323"/>
      <c r="AU175" s="322"/>
    </row>
    <row r="176" spans="1:47" ht="3" customHeight="1" x14ac:dyDescent="0.3">
      <c r="B176" s="125"/>
      <c r="C176" s="109"/>
      <c r="D176" s="115"/>
      <c r="E176" s="115"/>
      <c r="F176" s="116"/>
      <c r="G176" s="116"/>
      <c r="P176" s="278"/>
      <c r="Q176" s="278"/>
      <c r="T176" s="323"/>
      <c r="AC176" s="278"/>
      <c r="AD176" s="278"/>
      <c r="AE176" s="322"/>
      <c r="AS176" s="323"/>
      <c r="AU176" s="322"/>
    </row>
    <row r="177" spans="1:47" x14ac:dyDescent="0.3">
      <c r="A177" s="109"/>
      <c r="B177" s="131" t="s">
        <v>815</v>
      </c>
      <c r="C177" s="109" t="s">
        <v>820</v>
      </c>
      <c r="D177" s="115"/>
      <c r="E177" s="115"/>
      <c r="F177" s="116"/>
      <c r="G177" s="116"/>
      <c r="T177" s="323"/>
      <c r="AE177" s="322"/>
      <c r="AP177" s="157"/>
      <c r="AQ177" s="157"/>
      <c r="AS177" s="323"/>
      <c r="AU177" s="322"/>
    </row>
    <row r="178" spans="1:47" x14ac:dyDescent="0.3">
      <c r="B178" s="125"/>
      <c r="E178" s="115"/>
      <c r="F178" s="116"/>
      <c r="G178" s="116"/>
      <c r="P178" s="739"/>
      <c r="Q178" s="739"/>
      <c r="T178" s="323"/>
      <c r="AC178" s="739"/>
      <c r="AD178" s="739"/>
      <c r="AE178" s="322"/>
      <c r="AP178" s="765">
        <f>ROUND(SUM(P178:AE178),0)</f>
        <v>0</v>
      </c>
      <c r="AQ178" s="765"/>
      <c r="AS178" s="323"/>
      <c r="AU178" s="322"/>
    </row>
    <row r="179" spans="1:47" x14ac:dyDescent="0.3">
      <c r="B179" s="125"/>
      <c r="D179" s="106">
        <f>'YEAR 3'!D179</f>
        <v>0</v>
      </c>
      <c r="E179" s="115"/>
      <c r="F179" s="116"/>
      <c r="G179" s="116"/>
      <c r="P179" s="739"/>
      <c r="Q179" s="739"/>
      <c r="T179" s="323"/>
      <c r="AC179" s="739"/>
      <c r="AD179" s="739"/>
      <c r="AE179" s="322"/>
      <c r="AP179" s="765">
        <f>ROUND(SUM(P179:AE179),0)</f>
        <v>0</v>
      </c>
      <c r="AQ179" s="765"/>
      <c r="AS179" s="323"/>
      <c r="AU179" s="322"/>
    </row>
    <row r="180" spans="1:47" x14ac:dyDescent="0.3">
      <c r="B180" s="125"/>
      <c r="D180" s="106">
        <f>'YEAR 3'!D180</f>
        <v>0</v>
      </c>
      <c r="E180" s="115"/>
      <c r="F180" s="116"/>
      <c r="G180" s="116"/>
      <c r="P180" s="739"/>
      <c r="Q180" s="739"/>
      <c r="T180" s="323"/>
      <c r="AC180" s="739"/>
      <c r="AD180" s="739"/>
      <c r="AE180" s="322"/>
      <c r="AP180" s="765">
        <f>ROUND(SUM(P180:AE180),0)</f>
        <v>0</v>
      </c>
      <c r="AQ180" s="765"/>
      <c r="AS180" s="323"/>
      <c r="AU180" s="322"/>
    </row>
    <row r="181" spans="1:47" x14ac:dyDescent="0.3">
      <c r="B181" s="125"/>
      <c r="D181" s="106">
        <f>'YEAR 3'!D181</f>
        <v>0</v>
      </c>
      <c r="E181" s="115"/>
      <c r="F181" s="116"/>
      <c r="G181" s="116"/>
      <c r="P181" s="739"/>
      <c r="Q181" s="739"/>
      <c r="T181" s="323"/>
      <c r="AC181" s="739"/>
      <c r="AD181" s="739"/>
      <c r="AE181" s="322"/>
      <c r="AP181" s="765">
        <f>ROUND(SUM(P181:AE181),0)</f>
        <v>0</v>
      </c>
      <c r="AQ181" s="765"/>
      <c r="AS181" s="323"/>
      <c r="AU181" s="322"/>
    </row>
    <row r="182" spans="1:47" x14ac:dyDescent="0.3">
      <c r="B182" s="125"/>
      <c r="D182" s="106">
        <f>'YEAR 3'!D182</f>
        <v>0</v>
      </c>
      <c r="E182" s="115"/>
      <c r="F182" s="116"/>
      <c r="G182" s="116"/>
      <c r="P182" s="739"/>
      <c r="Q182" s="739"/>
      <c r="T182" s="323"/>
      <c r="AC182" s="739"/>
      <c r="AD182" s="739"/>
      <c r="AE182" s="322"/>
      <c r="AP182" s="765">
        <f>ROUND(SUM(P182:AE182),0)</f>
        <v>0</v>
      </c>
      <c r="AQ182" s="765"/>
      <c r="AS182" s="323"/>
      <c r="AU182" s="322"/>
    </row>
    <row r="183" spans="1:47" ht="3" customHeight="1" x14ac:dyDescent="0.3">
      <c r="B183" s="125"/>
      <c r="D183" s="132"/>
      <c r="E183" s="132"/>
      <c r="F183" s="133"/>
      <c r="G183" s="133"/>
      <c r="H183" s="134"/>
      <c r="I183" s="134"/>
      <c r="J183" s="134"/>
      <c r="K183" s="134"/>
      <c r="L183" s="134"/>
      <c r="M183" s="134"/>
      <c r="N183" s="134"/>
      <c r="O183" s="134"/>
      <c r="P183" s="763"/>
      <c r="Q183" s="763"/>
      <c r="R183" s="134"/>
      <c r="S183" s="134"/>
      <c r="T183" s="325"/>
      <c r="U183" s="134"/>
      <c r="V183" s="134"/>
      <c r="W183" s="134"/>
      <c r="X183" s="134"/>
      <c r="Y183" s="134"/>
      <c r="Z183" s="134"/>
      <c r="AA183" s="134"/>
      <c r="AB183" s="134"/>
      <c r="AC183" s="763"/>
      <c r="AD183" s="763"/>
      <c r="AE183" s="326"/>
      <c r="AF183" s="134"/>
      <c r="AG183" s="134"/>
      <c r="AH183" s="134"/>
      <c r="AI183" s="134"/>
      <c r="AJ183" s="134"/>
      <c r="AK183" s="134"/>
      <c r="AL183" s="134"/>
      <c r="AM183" s="134"/>
      <c r="AN183" s="134"/>
      <c r="AO183" s="134"/>
      <c r="AP183" s="736"/>
      <c r="AQ183" s="736"/>
      <c r="AS183" s="323"/>
      <c r="AU183" s="322"/>
    </row>
    <row r="184" spans="1:47" x14ac:dyDescent="0.3">
      <c r="B184" s="125"/>
      <c r="C184" s="109" t="str">
        <f>"Subtotal "&amp;C177</f>
        <v>Subtotal Consultant Services/Contractual</v>
      </c>
      <c r="D184" s="115"/>
      <c r="E184" s="115"/>
      <c r="F184" s="116"/>
      <c r="G184" s="116"/>
      <c r="P184" s="774">
        <f>ROUND(SUM(P178:Q183),0)</f>
        <v>0</v>
      </c>
      <c r="Q184" s="774"/>
      <c r="T184" s="323"/>
      <c r="AC184" s="774">
        <f>ROUND(SUM(AC178:AD183),0)</f>
        <v>0</v>
      </c>
      <c r="AD184" s="774"/>
      <c r="AE184" s="322"/>
      <c r="AP184" s="783">
        <f>ROUND(SUM(AP178:AQ183),0)</f>
        <v>0</v>
      </c>
      <c r="AQ184" s="783"/>
      <c r="AS184" s="323"/>
      <c r="AU184" s="322"/>
    </row>
    <row r="185" spans="1:47" ht="3" customHeight="1" x14ac:dyDescent="0.3">
      <c r="B185" s="125"/>
      <c r="C185" s="109"/>
      <c r="D185" s="115"/>
      <c r="E185" s="115"/>
      <c r="F185" s="116"/>
      <c r="G185" s="116"/>
      <c r="P185" s="278"/>
      <c r="Q185" s="278"/>
      <c r="T185" s="323"/>
      <c r="AC185" s="278"/>
      <c r="AD185" s="278"/>
      <c r="AE185" s="322"/>
      <c r="AS185" s="323"/>
      <c r="AU185" s="322"/>
    </row>
    <row r="186" spans="1:47" x14ac:dyDescent="0.3">
      <c r="A186" s="109"/>
      <c r="B186" s="131" t="s">
        <v>816</v>
      </c>
      <c r="C186" s="109" t="s">
        <v>821</v>
      </c>
      <c r="D186" s="115"/>
      <c r="E186" s="115"/>
      <c r="F186" s="116"/>
      <c r="G186" s="116"/>
      <c r="T186" s="323"/>
      <c r="AE186" s="322"/>
      <c r="AP186" s="157"/>
      <c r="AQ186" s="157"/>
      <c r="AS186" s="323"/>
      <c r="AU186" s="322"/>
    </row>
    <row r="187" spans="1:47" x14ac:dyDescent="0.3">
      <c r="B187" s="125"/>
      <c r="D187" s="106">
        <f>'YEAR 3'!D187</f>
        <v>0</v>
      </c>
      <c r="E187" s="115"/>
      <c r="F187" s="116"/>
      <c r="G187" s="116"/>
      <c r="P187" s="739"/>
      <c r="Q187" s="739"/>
      <c r="T187" s="323"/>
      <c r="AC187" s="739"/>
      <c r="AD187" s="739"/>
      <c r="AE187" s="322"/>
      <c r="AP187" s="765">
        <f>ROUND(SUM(P187:AE187),0)</f>
        <v>0</v>
      </c>
      <c r="AQ187" s="765"/>
      <c r="AS187" s="323"/>
      <c r="AU187" s="322"/>
    </row>
    <row r="188" spans="1:47" x14ac:dyDescent="0.3">
      <c r="B188" s="125"/>
      <c r="D188" s="106">
        <f>'YEAR 3'!D188</f>
        <v>0</v>
      </c>
      <c r="E188" s="115"/>
      <c r="F188" s="116"/>
      <c r="G188" s="116"/>
      <c r="P188" s="739"/>
      <c r="Q188" s="739"/>
      <c r="T188" s="323"/>
      <c r="AC188" s="739"/>
      <c r="AD188" s="739"/>
      <c r="AE188" s="322"/>
      <c r="AP188" s="765">
        <f>ROUND(SUM(P188:AE188),0)</f>
        <v>0</v>
      </c>
      <c r="AQ188" s="765"/>
      <c r="AS188" s="323"/>
      <c r="AU188" s="322"/>
    </row>
    <row r="189" spans="1:47" x14ac:dyDescent="0.3">
      <c r="B189" s="125"/>
      <c r="D189" s="106">
        <f>'YEAR 3'!D189</f>
        <v>0</v>
      </c>
      <c r="E189" s="115"/>
      <c r="F189" s="116"/>
      <c r="G189" s="116"/>
      <c r="P189" s="739"/>
      <c r="Q189" s="739"/>
      <c r="T189" s="323"/>
      <c r="AC189" s="739"/>
      <c r="AD189" s="739"/>
      <c r="AE189" s="322"/>
      <c r="AP189" s="765">
        <f>ROUND(SUM(P189:AE189),0)</f>
        <v>0</v>
      </c>
      <c r="AQ189" s="765"/>
      <c r="AS189" s="323"/>
      <c r="AU189" s="322"/>
    </row>
    <row r="190" spans="1:47" x14ac:dyDescent="0.3">
      <c r="B190" s="125"/>
      <c r="D190" s="106">
        <f>'YEAR 3'!D190</f>
        <v>0</v>
      </c>
      <c r="E190" s="115"/>
      <c r="F190" s="116"/>
      <c r="G190" s="116"/>
      <c r="P190" s="739"/>
      <c r="Q190" s="739"/>
      <c r="T190" s="323"/>
      <c r="AC190" s="739"/>
      <c r="AD190" s="739"/>
      <c r="AE190" s="322"/>
      <c r="AP190" s="765">
        <f>ROUND(SUM(P190:AE190),0)</f>
        <v>0</v>
      </c>
      <c r="AQ190" s="765"/>
      <c r="AS190" s="323"/>
      <c r="AU190" s="322"/>
    </row>
    <row r="191" spans="1:47" x14ac:dyDescent="0.3">
      <c r="B191" s="125"/>
      <c r="D191" s="106">
        <f>'YEAR 3'!D191</f>
        <v>0</v>
      </c>
      <c r="E191" s="115"/>
      <c r="F191" s="116"/>
      <c r="G191" s="116"/>
      <c r="P191" s="739"/>
      <c r="Q191" s="739"/>
      <c r="T191" s="323"/>
      <c r="AC191" s="739"/>
      <c r="AD191" s="739"/>
      <c r="AE191" s="322"/>
      <c r="AP191" s="765">
        <f>ROUND(SUM(P191:AE191),0)</f>
        <v>0</v>
      </c>
      <c r="AQ191" s="765"/>
      <c r="AS191" s="323"/>
      <c r="AU191" s="322"/>
    </row>
    <row r="192" spans="1:47" ht="3" customHeight="1" x14ac:dyDescent="0.3">
      <c r="B192" s="125"/>
      <c r="D192" s="132"/>
      <c r="E192" s="132"/>
      <c r="F192" s="133"/>
      <c r="G192" s="133"/>
      <c r="H192" s="134"/>
      <c r="I192" s="134"/>
      <c r="J192" s="134"/>
      <c r="K192" s="134"/>
      <c r="L192" s="134"/>
      <c r="M192" s="134"/>
      <c r="N192" s="134"/>
      <c r="O192" s="134"/>
      <c r="P192" s="763"/>
      <c r="Q192" s="763"/>
      <c r="R192" s="134"/>
      <c r="S192" s="134"/>
      <c r="T192" s="325"/>
      <c r="U192" s="134"/>
      <c r="V192" s="134"/>
      <c r="W192" s="134"/>
      <c r="X192" s="134"/>
      <c r="Y192" s="134"/>
      <c r="Z192" s="134"/>
      <c r="AA192" s="134"/>
      <c r="AB192" s="134"/>
      <c r="AC192" s="763"/>
      <c r="AD192" s="763"/>
      <c r="AE192" s="326"/>
      <c r="AF192" s="134"/>
      <c r="AG192" s="134"/>
      <c r="AH192" s="134"/>
      <c r="AI192" s="134"/>
      <c r="AJ192" s="134"/>
      <c r="AK192" s="134"/>
      <c r="AL192" s="134"/>
      <c r="AM192" s="134"/>
      <c r="AN192" s="134"/>
      <c r="AO192" s="134"/>
      <c r="AP192" s="736"/>
      <c r="AQ192" s="736"/>
      <c r="AS192" s="323"/>
      <c r="AU192" s="322"/>
    </row>
    <row r="193" spans="1:47" x14ac:dyDescent="0.3">
      <c r="B193" s="125"/>
      <c r="C193" s="109" t="str">
        <f>"Subtotal "&amp;C186</f>
        <v>Subtotal Fee for Service/Contractual</v>
      </c>
      <c r="D193" s="115"/>
      <c r="E193" s="115"/>
      <c r="F193" s="116"/>
      <c r="G193" s="116"/>
      <c r="P193" s="774">
        <f>ROUND(SUM(P187:Q192),0)</f>
        <v>0</v>
      </c>
      <c r="Q193" s="774"/>
      <c r="T193" s="323"/>
      <c r="AC193" s="774">
        <f>ROUND(SUM(AC187:AD192),0)</f>
        <v>0</v>
      </c>
      <c r="AD193" s="774"/>
      <c r="AE193" s="322"/>
      <c r="AP193" s="783">
        <f>ROUND(SUM(AP187:AQ192),0)</f>
        <v>0</v>
      </c>
      <c r="AQ193" s="783"/>
      <c r="AS193" s="323"/>
      <c r="AU193" s="322"/>
    </row>
    <row r="194" spans="1:47" ht="3" customHeight="1" x14ac:dyDescent="0.3">
      <c r="B194" s="125"/>
      <c r="C194" s="109"/>
      <c r="D194" s="115"/>
      <c r="E194" s="115"/>
      <c r="F194" s="116"/>
      <c r="G194" s="116"/>
      <c r="P194" s="278"/>
      <c r="Q194" s="278"/>
      <c r="T194" s="323"/>
      <c r="AC194" s="278"/>
      <c r="AD194" s="278"/>
      <c r="AE194" s="322"/>
      <c r="AS194" s="323"/>
      <c r="AU194" s="322"/>
    </row>
    <row r="195" spans="1:47" x14ac:dyDescent="0.3">
      <c r="A195" s="109"/>
      <c r="B195" s="131" t="s">
        <v>817</v>
      </c>
      <c r="C195" s="109" t="s">
        <v>822</v>
      </c>
      <c r="D195" s="115"/>
      <c r="E195" s="115"/>
      <c r="F195" s="116"/>
      <c r="G195" s="116"/>
      <c r="T195" s="323"/>
      <c r="AE195" s="322"/>
      <c r="AP195" s="157"/>
      <c r="AQ195" s="157"/>
      <c r="AS195" s="323"/>
      <c r="AU195" s="322"/>
    </row>
    <row r="196" spans="1:47" x14ac:dyDescent="0.3">
      <c r="B196" s="125"/>
      <c r="D196" s="106">
        <f>'YEAR 3'!D196</f>
        <v>0</v>
      </c>
      <c r="E196" s="115"/>
      <c r="F196" s="116"/>
      <c r="G196" s="116"/>
      <c r="P196" s="739"/>
      <c r="Q196" s="739"/>
      <c r="T196" s="323"/>
      <c r="AC196" s="739"/>
      <c r="AD196" s="739"/>
      <c r="AE196" s="322"/>
      <c r="AP196" s="765">
        <f>ROUND(SUM(P196:AE196),0)</f>
        <v>0</v>
      </c>
      <c r="AQ196" s="765"/>
      <c r="AS196" s="506">
        <f>P196</f>
        <v>0</v>
      </c>
      <c r="AU196" s="520">
        <f>AC196</f>
        <v>0</v>
      </c>
    </row>
    <row r="197" spans="1:47" x14ac:dyDescent="0.3">
      <c r="B197" s="125"/>
      <c r="D197" s="106">
        <f>'YEAR 3'!D197</f>
        <v>0</v>
      </c>
      <c r="E197" s="115"/>
      <c r="F197" s="116"/>
      <c r="G197" s="116"/>
      <c r="P197" s="739"/>
      <c r="Q197" s="739"/>
      <c r="T197" s="323"/>
      <c r="AC197" s="739"/>
      <c r="AD197" s="739"/>
      <c r="AE197" s="322"/>
      <c r="AP197" s="765">
        <f>ROUND(SUM(P197:AE197),0)</f>
        <v>0</v>
      </c>
      <c r="AQ197" s="765"/>
      <c r="AS197" s="506">
        <f>P197</f>
        <v>0</v>
      </c>
      <c r="AU197" s="520">
        <f>AC197</f>
        <v>0</v>
      </c>
    </row>
    <row r="198" spans="1:47" ht="15" customHeight="1" x14ac:dyDescent="0.3">
      <c r="B198" s="125"/>
      <c r="D198" s="106">
        <f>'YEAR 3'!D198</f>
        <v>0</v>
      </c>
      <c r="E198" s="115"/>
      <c r="F198" s="116"/>
      <c r="G198" s="116"/>
      <c r="P198" s="739"/>
      <c r="Q198" s="739"/>
      <c r="T198" s="323"/>
      <c r="AC198" s="739"/>
      <c r="AD198" s="739"/>
      <c r="AE198" s="322"/>
      <c r="AP198" s="765">
        <f>ROUND(SUM(P198:AE198),0)</f>
        <v>0</v>
      </c>
      <c r="AQ198" s="765"/>
      <c r="AS198" s="506">
        <f>P198</f>
        <v>0</v>
      </c>
      <c r="AU198" s="520">
        <f>AC198</f>
        <v>0</v>
      </c>
    </row>
    <row r="199" spans="1:47" x14ac:dyDescent="0.3">
      <c r="B199" s="125"/>
      <c r="D199" s="106">
        <f>'YEAR 3'!D199</f>
        <v>0</v>
      </c>
      <c r="E199" s="115"/>
      <c r="F199" s="116"/>
      <c r="G199" s="116"/>
      <c r="P199" s="739"/>
      <c r="Q199" s="739"/>
      <c r="T199" s="323"/>
      <c r="AC199" s="739"/>
      <c r="AD199" s="739"/>
      <c r="AE199" s="322"/>
      <c r="AP199" s="765">
        <f>ROUND(SUM(P199:AE199),0)</f>
        <v>0</v>
      </c>
      <c r="AQ199" s="765"/>
      <c r="AS199" s="506">
        <f>P199</f>
        <v>0</v>
      </c>
      <c r="AU199" s="520">
        <f>AC199</f>
        <v>0</v>
      </c>
    </row>
    <row r="200" spans="1:47" x14ac:dyDescent="0.3">
      <c r="B200" s="125"/>
      <c r="D200" s="106">
        <f>'YEAR 3'!D200</f>
        <v>0</v>
      </c>
      <c r="E200" s="115"/>
      <c r="F200" s="116"/>
      <c r="G200" s="116"/>
      <c r="P200" s="739"/>
      <c r="Q200" s="739"/>
      <c r="T200" s="323"/>
      <c r="AC200" s="739"/>
      <c r="AD200" s="739"/>
      <c r="AE200" s="322"/>
      <c r="AP200" s="765">
        <f>ROUND(SUM(P200:AE200),0)</f>
        <v>0</v>
      </c>
      <c r="AQ200" s="765"/>
      <c r="AS200" s="506">
        <f>P200</f>
        <v>0</v>
      </c>
      <c r="AU200" s="520">
        <f>AC200</f>
        <v>0</v>
      </c>
    </row>
    <row r="201" spans="1:47" ht="3" customHeight="1" x14ac:dyDescent="0.3">
      <c r="B201" s="125"/>
      <c r="D201" s="132"/>
      <c r="E201" s="132"/>
      <c r="F201" s="133"/>
      <c r="G201" s="133"/>
      <c r="H201" s="134"/>
      <c r="I201" s="134"/>
      <c r="J201" s="134"/>
      <c r="K201" s="134"/>
      <c r="L201" s="134"/>
      <c r="M201" s="134"/>
      <c r="N201" s="134"/>
      <c r="O201" s="134"/>
      <c r="P201" s="763"/>
      <c r="Q201" s="763"/>
      <c r="R201" s="134"/>
      <c r="S201" s="134"/>
      <c r="T201" s="325"/>
      <c r="U201" s="134"/>
      <c r="V201" s="134"/>
      <c r="W201" s="134"/>
      <c r="X201" s="134"/>
      <c r="Y201" s="134"/>
      <c r="Z201" s="134"/>
      <c r="AA201" s="134"/>
      <c r="AB201" s="134"/>
      <c r="AC201" s="763"/>
      <c r="AD201" s="763"/>
      <c r="AE201" s="326"/>
      <c r="AF201" s="134"/>
      <c r="AG201" s="134"/>
      <c r="AH201" s="134"/>
      <c r="AI201" s="134"/>
      <c r="AJ201" s="134"/>
      <c r="AK201" s="134"/>
      <c r="AL201" s="134"/>
      <c r="AM201" s="134"/>
      <c r="AN201" s="134"/>
      <c r="AO201" s="134"/>
      <c r="AP201" s="736"/>
      <c r="AQ201" s="736"/>
      <c r="AS201" s="323"/>
      <c r="AU201" s="322"/>
    </row>
    <row r="202" spans="1:47" x14ac:dyDescent="0.3">
      <c r="B202" s="125"/>
      <c r="C202" s="109" t="str">
        <f>"Subtotal "&amp;C195</f>
        <v>Subtotal Subawards</v>
      </c>
      <c r="D202" s="115"/>
      <c r="E202" s="115"/>
      <c r="F202" s="116"/>
      <c r="G202" s="116"/>
      <c r="P202" s="774">
        <f>ROUND(SUM(P196:Q201),0)</f>
        <v>0</v>
      </c>
      <c r="Q202" s="774"/>
      <c r="T202" s="323"/>
      <c r="AC202" s="774">
        <f>ROUND(SUM(AC196:AD201),0)</f>
        <v>0</v>
      </c>
      <c r="AD202" s="774"/>
      <c r="AE202" s="322"/>
      <c r="AP202" s="783">
        <f>ROUND(SUM(AP196:AQ201),0)</f>
        <v>0</v>
      </c>
      <c r="AQ202" s="783"/>
      <c r="AS202" s="323"/>
      <c r="AU202" s="322"/>
    </row>
    <row r="203" spans="1:47" ht="3" customHeight="1" x14ac:dyDescent="0.3">
      <c r="B203" s="125"/>
      <c r="C203" s="109"/>
      <c r="D203" s="115"/>
      <c r="E203" s="115"/>
      <c r="F203" s="116"/>
      <c r="G203" s="116"/>
      <c r="P203" s="278"/>
      <c r="Q203" s="278"/>
      <c r="T203" s="323"/>
      <c r="AC203" s="278"/>
      <c r="AD203" s="278"/>
      <c r="AE203" s="322"/>
      <c r="AS203" s="323"/>
      <c r="AU203" s="322"/>
    </row>
    <row r="204" spans="1:47" x14ac:dyDescent="0.3">
      <c r="A204" s="109"/>
      <c r="B204" s="131" t="s">
        <v>823</v>
      </c>
      <c r="C204" s="109" t="s">
        <v>824</v>
      </c>
      <c r="D204" s="115"/>
      <c r="E204" s="115"/>
      <c r="F204" s="116"/>
      <c r="G204" s="116"/>
      <c r="T204" s="323"/>
      <c r="AE204" s="322"/>
      <c r="AP204" s="157"/>
      <c r="AQ204" s="157"/>
      <c r="AS204" s="323"/>
      <c r="AU204" s="322"/>
    </row>
    <row r="205" spans="1:47" x14ac:dyDescent="0.3">
      <c r="B205" s="125"/>
      <c r="C205" s="113"/>
      <c r="D205" s="106">
        <f>'YEAR 1'!D205</f>
        <v>0</v>
      </c>
      <c r="E205" s="115"/>
      <c r="F205" s="116"/>
      <c r="G205" s="116"/>
      <c r="P205" s="739"/>
      <c r="Q205" s="739"/>
      <c r="T205" s="323"/>
      <c r="AC205" s="739"/>
      <c r="AD205" s="739"/>
      <c r="AE205" s="322"/>
      <c r="AP205" s="765">
        <f>ROUND(SUM(P205:AE205),0)</f>
        <v>0</v>
      </c>
      <c r="AQ205" s="765"/>
      <c r="AS205" s="323"/>
      <c r="AU205" s="322"/>
    </row>
    <row r="206" spans="1:47" x14ac:dyDescent="0.3">
      <c r="B206" s="125"/>
      <c r="C206" s="113"/>
      <c r="D206" s="106">
        <f>'YEAR 1'!D206</f>
        <v>0</v>
      </c>
      <c r="E206" s="115"/>
      <c r="F206" s="116"/>
      <c r="G206" s="116"/>
      <c r="P206" s="739"/>
      <c r="Q206" s="739"/>
      <c r="T206" s="323"/>
      <c r="AC206" s="739"/>
      <c r="AD206" s="739"/>
      <c r="AE206" s="322"/>
      <c r="AP206" s="765">
        <f>ROUND(SUM(P206:AE206),0)</f>
        <v>0</v>
      </c>
      <c r="AQ206" s="765"/>
      <c r="AS206" s="323"/>
      <c r="AU206" s="322"/>
    </row>
    <row r="207" spans="1:47" x14ac:dyDescent="0.3">
      <c r="B207" s="125"/>
      <c r="D207" s="106">
        <f>'YEAR 1'!D207</f>
        <v>0</v>
      </c>
      <c r="E207" s="115"/>
      <c r="F207" s="116"/>
      <c r="G207" s="116"/>
      <c r="P207" s="739"/>
      <c r="Q207" s="739"/>
      <c r="T207" s="323"/>
      <c r="AC207" s="739"/>
      <c r="AD207" s="739"/>
      <c r="AE207" s="322"/>
      <c r="AP207" s="765">
        <f>ROUND(SUM(P207:AE207),0)</f>
        <v>0</v>
      </c>
      <c r="AQ207" s="765"/>
      <c r="AS207" s="323"/>
      <c r="AU207" s="322"/>
    </row>
    <row r="208" spans="1:47" x14ac:dyDescent="0.3">
      <c r="B208" s="125"/>
      <c r="D208" s="106">
        <f>'YEAR 1'!D208</f>
        <v>0</v>
      </c>
      <c r="E208" s="115"/>
      <c r="F208" s="116"/>
      <c r="G208" s="116"/>
      <c r="P208" s="739"/>
      <c r="Q208" s="739"/>
      <c r="T208" s="323"/>
      <c r="AC208" s="739"/>
      <c r="AD208" s="739"/>
      <c r="AE208" s="322"/>
      <c r="AP208" s="765">
        <f>ROUND(SUM(P208:AE208),0)</f>
        <v>0</v>
      </c>
      <c r="AQ208" s="765"/>
      <c r="AS208" s="323"/>
      <c r="AU208" s="322"/>
    </row>
    <row r="209" spans="1:47" x14ac:dyDescent="0.3">
      <c r="B209" s="125"/>
      <c r="D209" s="106">
        <f>'YEAR 3'!D209</f>
        <v>0</v>
      </c>
      <c r="E209" s="115"/>
      <c r="F209" s="116"/>
      <c r="G209" s="116"/>
      <c r="P209" s="739"/>
      <c r="Q209" s="739"/>
      <c r="T209" s="323"/>
      <c r="AC209" s="739"/>
      <c r="AD209" s="739"/>
      <c r="AE209" s="322"/>
      <c r="AP209" s="765">
        <f>ROUND(SUM(P209:AE209),0)</f>
        <v>0</v>
      </c>
      <c r="AQ209" s="765"/>
      <c r="AS209" s="323"/>
      <c r="AU209" s="322"/>
    </row>
    <row r="210" spans="1:47" ht="3" customHeight="1" x14ac:dyDescent="0.3">
      <c r="B210" s="125"/>
      <c r="D210" s="132"/>
      <c r="E210" s="132"/>
      <c r="F210" s="133"/>
      <c r="G210" s="133"/>
      <c r="H210" s="134"/>
      <c r="I210" s="134"/>
      <c r="J210" s="134"/>
      <c r="K210" s="134"/>
      <c r="L210" s="134"/>
      <c r="M210" s="134"/>
      <c r="N210" s="134"/>
      <c r="O210" s="134"/>
      <c r="P210" s="763"/>
      <c r="Q210" s="763"/>
      <c r="R210" s="134"/>
      <c r="S210" s="134"/>
      <c r="T210" s="325"/>
      <c r="U210" s="134"/>
      <c r="V210" s="134"/>
      <c r="W210" s="134"/>
      <c r="X210" s="134"/>
      <c r="Y210" s="134"/>
      <c r="Z210" s="134"/>
      <c r="AA210" s="134"/>
      <c r="AB210" s="134"/>
      <c r="AC210" s="763"/>
      <c r="AD210" s="763"/>
      <c r="AE210" s="326"/>
      <c r="AF210" s="134"/>
      <c r="AG210" s="134"/>
      <c r="AH210" s="134"/>
      <c r="AI210" s="134"/>
      <c r="AJ210" s="134"/>
      <c r="AK210" s="134"/>
      <c r="AL210" s="134"/>
      <c r="AM210" s="134"/>
      <c r="AN210" s="134"/>
      <c r="AO210" s="134"/>
      <c r="AP210" s="736"/>
      <c r="AQ210" s="736"/>
      <c r="AS210" s="323"/>
      <c r="AU210" s="322"/>
    </row>
    <row r="211" spans="1:47" x14ac:dyDescent="0.3">
      <c r="B211" s="125"/>
      <c r="C211" s="109" t="str">
        <f>"Subtotal "&amp;C204</f>
        <v>Subtotal Equipment/Facility Rental Fees</v>
      </c>
      <c r="D211" s="115"/>
      <c r="E211" s="115"/>
      <c r="F211" s="116"/>
      <c r="G211" s="116"/>
      <c r="P211" s="774">
        <f>ROUND(SUM(P205:Q210),0)</f>
        <v>0</v>
      </c>
      <c r="Q211" s="774"/>
      <c r="T211" s="323"/>
      <c r="AC211" s="774">
        <f>ROUND(SUM(AC205:AD210),0)</f>
        <v>0</v>
      </c>
      <c r="AD211" s="774"/>
      <c r="AE211" s="322"/>
      <c r="AP211" s="783">
        <f>ROUND(SUM(AP205:AQ210),0)</f>
        <v>0</v>
      </c>
      <c r="AQ211" s="783"/>
      <c r="AS211" s="323"/>
      <c r="AU211" s="322"/>
    </row>
    <row r="212" spans="1:47" ht="3" customHeight="1" x14ac:dyDescent="0.3">
      <c r="B212" s="125"/>
      <c r="C212" s="109"/>
      <c r="D212" s="115"/>
      <c r="E212" s="115"/>
      <c r="F212" s="116"/>
      <c r="G212" s="116"/>
      <c r="P212" s="278"/>
      <c r="Q212" s="278"/>
      <c r="T212" s="323"/>
      <c r="AC212" s="278"/>
      <c r="AD212" s="278"/>
      <c r="AE212" s="322"/>
      <c r="AS212" s="323"/>
      <c r="AU212" s="322"/>
    </row>
    <row r="213" spans="1:47" x14ac:dyDescent="0.3">
      <c r="A213" s="109"/>
      <c r="B213" s="131" t="s">
        <v>825</v>
      </c>
      <c r="C213" s="109" t="s">
        <v>826</v>
      </c>
      <c r="D213" s="115"/>
      <c r="E213" s="115"/>
      <c r="F213" s="116"/>
      <c r="G213" s="116"/>
      <c r="T213" s="323"/>
      <c r="AE213" s="322"/>
      <c r="AP213" s="157"/>
      <c r="AQ213" s="157"/>
      <c r="AS213" s="323"/>
      <c r="AU213" s="322"/>
    </row>
    <row r="214" spans="1:47" x14ac:dyDescent="0.3">
      <c r="B214" s="125"/>
      <c r="D214" s="106">
        <f>'YEAR 3'!D214</f>
        <v>0</v>
      </c>
      <c r="E214" s="115"/>
      <c r="F214" s="116"/>
      <c r="G214" s="116"/>
      <c r="P214" s="739"/>
      <c r="Q214" s="739"/>
      <c r="T214" s="323"/>
      <c r="AC214" s="739"/>
      <c r="AD214" s="739"/>
      <c r="AE214" s="322"/>
      <c r="AP214" s="765">
        <f>ROUND(SUM(P214:AE214),0)</f>
        <v>0</v>
      </c>
      <c r="AQ214" s="765"/>
      <c r="AS214" s="323"/>
      <c r="AU214" s="322"/>
    </row>
    <row r="215" spans="1:47" x14ac:dyDescent="0.3">
      <c r="B215" s="125"/>
      <c r="D215" s="106">
        <f>'YEAR 3'!D215</f>
        <v>0</v>
      </c>
      <c r="E215" s="115"/>
      <c r="F215" s="116"/>
      <c r="G215" s="116"/>
      <c r="P215" s="739"/>
      <c r="Q215" s="739"/>
      <c r="T215" s="323"/>
      <c r="AC215" s="739"/>
      <c r="AD215" s="739"/>
      <c r="AE215" s="322"/>
      <c r="AP215" s="765">
        <f>ROUND(SUM(P215:AE215),0)</f>
        <v>0</v>
      </c>
      <c r="AQ215" s="765"/>
      <c r="AS215" s="323"/>
      <c r="AU215" s="322"/>
    </row>
    <row r="216" spans="1:47" x14ac:dyDescent="0.3">
      <c r="B216" s="125"/>
      <c r="D216" s="106">
        <f>'YEAR 3'!D216</f>
        <v>0</v>
      </c>
      <c r="E216" s="115"/>
      <c r="F216" s="116"/>
      <c r="G216" s="116"/>
      <c r="P216" s="739"/>
      <c r="Q216" s="739"/>
      <c r="T216" s="323"/>
      <c r="AC216" s="739"/>
      <c r="AD216" s="739"/>
      <c r="AE216" s="322"/>
      <c r="AP216" s="765">
        <f>ROUND(SUM(P216:AE216),0)</f>
        <v>0</v>
      </c>
      <c r="AQ216" s="765"/>
      <c r="AS216" s="323"/>
      <c r="AU216" s="322"/>
    </row>
    <row r="217" spans="1:47" x14ac:dyDescent="0.3">
      <c r="B217" s="125"/>
      <c r="D217" s="106">
        <f>'YEAR 3'!D217</f>
        <v>0</v>
      </c>
      <c r="E217" s="115"/>
      <c r="F217" s="116"/>
      <c r="G217" s="116"/>
      <c r="P217" s="739"/>
      <c r="Q217" s="739"/>
      <c r="T217" s="323"/>
      <c r="AC217" s="739"/>
      <c r="AD217" s="739"/>
      <c r="AE217" s="322"/>
      <c r="AP217" s="765">
        <f>ROUND(SUM(P217:AE217),0)</f>
        <v>0</v>
      </c>
      <c r="AQ217" s="765"/>
      <c r="AS217" s="323"/>
      <c r="AU217" s="322"/>
    </row>
    <row r="218" spans="1:47" x14ac:dyDescent="0.3">
      <c r="B218" s="125"/>
      <c r="D218" s="106">
        <f>'YEAR 3'!D218</f>
        <v>0</v>
      </c>
      <c r="E218" s="115"/>
      <c r="F218" s="116"/>
      <c r="G218" s="116"/>
      <c r="P218" s="739"/>
      <c r="Q218" s="739"/>
      <c r="T218" s="323"/>
      <c r="AC218" s="739"/>
      <c r="AD218" s="739"/>
      <c r="AE218" s="322"/>
      <c r="AP218" s="765">
        <f>ROUND(SUM(P218:AE218),0)</f>
        <v>0</v>
      </c>
      <c r="AQ218" s="765"/>
      <c r="AS218" s="323"/>
      <c r="AU218" s="322"/>
    </row>
    <row r="219" spans="1:47" ht="3" customHeight="1" x14ac:dyDescent="0.3">
      <c r="B219" s="125"/>
      <c r="D219" s="132"/>
      <c r="E219" s="132"/>
      <c r="F219" s="133"/>
      <c r="G219" s="133"/>
      <c r="H219" s="134"/>
      <c r="I219" s="134"/>
      <c r="J219" s="134"/>
      <c r="K219" s="134"/>
      <c r="L219" s="134"/>
      <c r="M219" s="134"/>
      <c r="N219" s="134"/>
      <c r="O219" s="134"/>
      <c r="P219" s="763"/>
      <c r="Q219" s="763"/>
      <c r="R219" s="134"/>
      <c r="S219" s="134"/>
      <c r="T219" s="325"/>
      <c r="U219" s="134"/>
      <c r="V219" s="134"/>
      <c r="W219" s="134"/>
      <c r="X219" s="134"/>
      <c r="Y219" s="134"/>
      <c r="Z219" s="134"/>
      <c r="AA219" s="134"/>
      <c r="AB219" s="134"/>
      <c r="AC219" s="763"/>
      <c r="AD219" s="763"/>
      <c r="AE219" s="326"/>
      <c r="AF219" s="134"/>
      <c r="AG219" s="134"/>
      <c r="AH219" s="134"/>
      <c r="AI219" s="134"/>
      <c r="AJ219" s="134"/>
      <c r="AK219" s="134"/>
      <c r="AL219" s="134"/>
      <c r="AM219" s="134"/>
      <c r="AN219" s="134"/>
      <c r="AO219" s="134"/>
      <c r="AP219" s="736"/>
      <c r="AQ219" s="736"/>
      <c r="AS219" s="323"/>
      <c r="AU219" s="322"/>
    </row>
    <row r="220" spans="1:47" x14ac:dyDescent="0.3">
      <c r="B220" s="125"/>
      <c r="C220" s="109" t="str">
        <f>"Subtotal "&amp;C213</f>
        <v>Subtotal Alterations/Renovations</v>
      </c>
      <c r="D220" s="115"/>
      <c r="E220" s="115"/>
      <c r="F220" s="116"/>
      <c r="G220" s="116"/>
      <c r="P220" s="774">
        <f>ROUND(SUM(P214:Q219),0)</f>
        <v>0</v>
      </c>
      <c r="Q220" s="774"/>
      <c r="T220" s="323"/>
      <c r="AC220" s="774">
        <f>ROUND(SUM(AC214:AD219),0)</f>
        <v>0</v>
      </c>
      <c r="AD220" s="774"/>
      <c r="AE220" s="322"/>
      <c r="AP220" s="783">
        <f>ROUND(SUM(AP214:AQ219),0)</f>
        <v>0</v>
      </c>
      <c r="AQ220" s="783"/>
      <c r="AS220" s="323"/>
      <c r="AU220" s="322"/>
    </row>
    <row r="221" spans="1:47" ht="3" customHeight="1" x14ac:dyDescent="0.3">
      <c r="B221" s="125"/>
      <c r="C221" s="109"/>
      <c r="D221" s="115"/>
      <c r="E221" s="115"/>
      <c r="F221" s="116"/>
      <c r="G221" s="116"/>
      <c r="P221" s="278"/>
      <c r="Q221" s="278"/>
      <c r="T221" s="323"/>
      <c r="AC221" s="278"/>
      <c r="AD221" s="278"/>
      <c r="AE221" s="322"/>
      <c r="AS221" s="323"/>
      <c r="AU221" s="322"/>
    </row>
    <row r="222" spans="1:47" x14ac:dyDescent="0.3">
      <c r="A222" s="109"/>
      <c r="B222" s="131" t="s">
        <v>827</v>
      </c>
      <c r="C222" s="109" t="s">
        <v>679</v>
      </c>
      <c r="D222" s="115"/>
      <c r="E222" s="115"/>
      <c r="F222" s="116"/>
      <c r="G222" s="116"/>
      <c r="T222" s="323"/>
      <c r="AE222" s="322"/>
      <c r="AP222" s="157"/>
      <c r="AQ222" s="157"/>
      <c r="AS222" s="323"/>
      <c r="AU222" s="322"/>
    </row>
    <row r="223" spans="1:47" x14ac:dyDescent="0.3">
      <c r="C223" s="279" t="s">
        <v>828</v>
      </c>
      <c r="D223" s="109" t="s">
        <v>829</v>
      </c>
      <c r="E223" s="115"/>
      <c r="F223" s="116"/>
      <c r="G223" s="116"/>
      <c r="P223" s="739"/>
      <c r="Q223" s="739"/>
      <c r="T223" s="323"/>
      <c r="AC223" s="739"/>
      <c r="AD223" s="739"/>
      <c r="AE223" s="322"/>
      <c r="AP223" s="785"/>
      <c r="AQ223" s="785"/>
      <c r="AS223" s="323"/>
      <c r="AU223" s="322"/>
    </row>
    <row r="224" spans="1:47" x14ac:dyDescent="0.3">
      <c r="B224" s="125"/>
      <c r="C224" s="430"/>
      <c r="D224" s="116" t="s">
        <v>830</v>
      </c>
      <c r="E224" s="115"/>
      <c r="F224" s="116"/>
      <c r="G224" s="116"/>
      <c r="P224" s="739"/>
      <c r="Q224" s="739"/>
      <c r="T224" s="323"/>
      <c r="AC224" s="739"/>
      <c r="AD224" s="739"/>
      <c r="AE224" s="322"/>
      <c r="AP224" s="786"/>
      <c r="AQ224" s="786"/>
      <c r="AS224" s="519"/>
      <c r="AU224" s="520"/>
    </row>
    <row r="225" spans="1:47" x14ac:dyDescent="0.3">
      <c r="B225" s="125"/>
      <c r="D225" s="116" t="str">
        <f>Data!AG303</f>
        <v>Fall 2024 ~ ACAD YR 2025</v>
      </c>
      <c r="E225" s="115"/>
      <c r="F225" s="180">
        <f>Data!AA303</f>
        <v>4681</v>
      </c>
      <c r="G225" s="116"/>
      <c r="P225" s="739">
        <f>ROUND(($C$224*$F225),0)</f>
        <v>0</v>
      </c>
      <c r="Q225" s="739"/>
      <c r="T225" s="323"/>
      <c r="AC225" s="739"/>
      <c r="AD225" s="739"/>
      <c r="AE225" s="322"/>
      <c r="AP225" s="765">
        <f>ROUND(SUM(AC225+P225),0)</f>
        <v>0</v>
      </c>
      <c r="AQ225" s="765"/>
      <c r="AS225" s="519">
        <f>P225</f>
        <v>0</v>
      </c>
      <c r="AU225" s="520">
        <f>AC225</f>
        <v>0</v>
      </c>
    </row>
    <row r="226" spans="1:47" x14ac:dyDescent="0.3">
      <c r="B226" s="125"/>
      <c r="C226" s="156"/>
      <c r="D226" s="116" t="str">
        <f>Data!AG304</f>
        <v>Spring 2025 ~ ACAD YR 2025</v>
      </c>
      <c r="E226" s="115"/>
      <c r="F226" s="180">
        <f>Data!AA304</f>
        <v>4681</v>
      </c>
      <c r="G226" s="116"/>
      <c r="P226" s="739">
        <f>ROUND(($C$224*$F226),0)</f>
        <v>0</v>
      </c>
      <c r="Q226" s="739"/>
      <c r="T226" s="323"/>
      <c r="AC226" s="739"/>
      <c r="AD226" s="739"/>
      <c r="AE226" s="322"/>
      <c r="AP226" s="765">
        <f>ROUND(SUM(AC226+P226),0)</f>
        <v>0</v>
      </c>
      <c r="AQ226" s="765"/>
      <c r="AS226" s="519">
        <f>P226</f>
        <v>0</v>
      </c>
      <c r="AU226" s="520">
        <f>AC226</f>
        <v>0</v>
      </c>
    </row>
    <row r="227" spans="1:47" x14ac:dyDescent="0.3">
      <c r="B227" s="125"/>
      <c r="C227" s="156"/>
      <c r="D227" s="116" t="str">
        <f>Data!AG305</f>
        <v>Summer 2025 ~ ACAD YR 2026</v>
      </c>
      <c r="E227" s="115"/>
      <c r="F227" s="180">
        <f>Data!AA305</f>
        <v>1072</v>
      </c>
      <c r="G227" s="116"/>
      <c r="P227" s="739">
        <f>ROUND(($C$224*$F227),0)</f>
        <v>0</v>
      </c>
      <c r="Q227" s="739"/>
      <c r="T227" s="323"/>
      <c r="AC227" s="739"/>
      <c r="AD227" s="739"/>
      <c r="AE227" s="322"/>
      <c r="AP227" s="765">
        <f>ROUND(SUM(AC227+P227),0)</f>
        <v>0</v>
      </c>
      <c r="AQ227" s="765"/>
      <c r="AS227" s="519">
        <f>P227</f>
        <v>0</v>
      </c>
      <c r="AU227" s="520">
        <f>AC227</f>
        <v>0</v>
      </c>
    </row>
    <row r="228" spans="1:47" ht="3" customHeight="1" x14ac:dyDescent="0.3">
      <c r="B228" s="125"/>
      <c r="C228" s="113"/>
      <c r="D228" s="116"/>
      <c r="E228" s="115"/>
      <c r="F228" s="157"/>
      <c r="G228" s="116"/>
      <c r="P228" s="739"/>
      <c r="Q228" s="739"/>
      <c r="T228" s="323"/>
      <c r="AC228" s="739"/>
      <c r="AD228" s="739"/>
      <c r="AE228" s="322"/>
      <c r="AP228" s="765"/>
      <c r="AQ228" s="765"/>
      <c r="AS228" s="519"/>
      <c r="AU228" s="520"/>
    </row>
    <row r="229" spans="1:47" x14ac:dyDescent="0.3">
      <c r="C229" s="279" t="s">
        <v>831</v>
      </c>
      <c r="D229" s="109" t="s">
        <v>832</v>
      </c>
      <c r="E229" s="115"/>
      <c r="F229" s="116"/>
      <c r="G229" s="116"/>
      <c r="P229" s="739">
        <f t="shared" ref="P229" si="4">ROUND(($C$224*$F229),0)</f>
        <v>0</v>
      </c>
      <c r="Q229" s="739"/>
      <c r="T229" s="323"/>
      <c r="AC229" s="739"/>
      <c r="AD229" s="739"/>
      <c r="AE229" s="322"/>
      <c r="AP229" s="765">
        <f>ROUND(SUM(P229:AE229),0)</f>
        <v>0</v>
      </c>
      <c r="AQ229" s="765"/>
      <c r="AS229" s="519"/>
      <c r="AU229" s="520">
        <f t="shared" ref="AU229" si="5">AC229</f>
        <v>0</v>
      </c>
    </row>
    <row r="230" spans="1:47" ht="3" customHeight="1" x14ac:dyDescent="0.3">
      <c r="B230" s="125"/>
      <c r="D230" s="132"/>
      <c r="E230" s="132"/>
      <c r="F230" s="133"/>
      <c r="G230" s="133"/>
      <c r="H230" s="134"/>
      <c r="I230" s="134"/>
      <c r="J230" s="134"/>
      <c r="K230" s="134"/>
      <c r="L230" s="134"/>
      <c r="M230" s="134"/>
      <c r="N230" s="134"/>
      <c r="O230" s="134"/>
      <c r="P230" s="763"/>
      <c r="Q230" s="763"/>
      <c r="R230" s="134"/>
      <c r="S230" s="134"/>
      <c r="T230" s="325"/>
      <c r="U230" s="134"/>
      <c r="V230" s="134"/>
      <c r="W230" s="134"/>
      <c r="X230" s="134"/>
      <c r="Y230" s="134"/>
      <c r="Z230" s="134"/>
      <c r="AA230" s="134"/>
      <c r="AB230" s="134"/>
      <c r="AC230" s="763"/>
      <c r="AD230" s="763"/>
      <c r="AE230" s="326"/>
      <c r="AF230" s="134"/>
      <c r="AG230" s="134"/>
      <c r="AH230" s="134"/>
      <c r="AI230" s="134"/>
      <c r="AJ230" s="134"/>
      <c r="AK230" s="134"/>
      <c r="AL230" s="134"/>
      <c r="AM230" s="134"/>
      <c r="AN230" s="134"/>
      <c r="AO230" s="134"/>
      <c r="AP230" s="736"/>
      <c r="AQ230" s="736"/>
      <c r="AS230" s="323"/>
      <c r="AU230" s="322"/>
    </row>
    <row r="231" spans="1:47" x14ac:dyDescent="0.3">
      <c r="B231" s="125"/>
      <c r="C231" s="109" t="str">
        <f>"Subtotal "&amp;C222</f>
        <v>Subtotal Other</v>
      </c>
      <c r="D231" s="115"/>
      <c r="E231" s="115"/>
      <c r="F231" s="116"/>
      <c r="G231" s="116"/>
      <c r="P231" s="774">
        <f>ROUND(SUM(P223:Q230),0)</f>
        <v>0</v>
      </c>
      <c r="Q231" s="774"/>
      <c r="T231" s="323"/>
      <c r="AC231" s="774">
        <f>ROUND(SUM(AC223:AD230),0)</f>
        <v>0</v>
      </c>
      <c r="AD231" s="774"/>
      <c r="AE231" s="322"/>
      <c r="AP231" s="783">
        <f>ROUND(SUM(AP223:AQ230),0)</f>
        <v>0</v>
      </c>
      <c r="AQ231" s="783"/>
      <c r="AS231" s="323"/>
      <c r="AU231" s="322"/>
    </row>
    <row r="232" spans="1:47" ht="3" customHeight="1" x14ac:dyDescent="0.3">
      <c r="B232" s="135"/>
      <c r="C232" s="136"/>
      <c r="D232" s="132"/>
      <c r="E232" s="132"/>
      <c r="F232" s="133"/>
      <c r="G232" s="133"/>
      <c r="H232" s="134"/>
      <c r="I232" s="134"/>
      <c r="J232" s="134"/>
      <c r="K232" s="134"/>
      <c r="L232" s="134"/>
      <c r="M232" s="134"/>
      <c r="N232" s="134"/>
      <c r="O232" s="134"/>
      <c r="P232" s="300"/>
      <c r="Q232" s="300"/>
      <c r="R232" s="134"/>
      <c r="S232" s="134"/>
      <c r="T232" s="325"/>
      <c r="U232" s="134"/>
      <c r="V232" s="134"/>
      <c r="W232" s="134"/>
      <c r="X232" s="134"/>
      <c r="Y232" s="134"/>
      <c r="Z232" s="134"/>
      <c r="AA232" s="134"/>
      <c r="AB232" s="134"/>
      <c r="AC232" s="300"/>
      <c r="AD232" s="300"/>
      <c r="AE232" s="326"/>
      <c r="AF232" s="134"/>
      <c r="AG232" s="134"/>
      <c r="AH232" s="134"/>
      <c r="AI232" s="134"/>
      <c r="AJ232" s="134"/>
      <c r="AK232" s="134"/>
      <c r="AL232" s="134"/>
      <c r="AM232" s="134"/>
      <c r="AN232" s="134"/>
      <c r="AO232" s="134"/>
      <c r="AP232" s="137"/>
      <c r="AQ232" s="137"/>
      <c r="AS232" s="323"/>
      <c r="AU232" s="322"/>
    </row>
    <row r="233" spans="1:47" x14ac:dyDescent="0.3">
      <c r="B233" s="160" t="str">
        <f>"TOTAL "&amp;B153</f>
        <v>TOTAL OTHER DIRECT COSTS</v>
      </c>
      <c r="C233" s="158"/>
      <c r="D233" s="170"/>
      <c r="E233" s="170"/>
      <c r="F233" s="171"/>
      <c r="G233" s="171"/>
      <c r="H233" s="159"/>
      <c r="I233" s="159"/>
      <c r="J233" s="159"/>
      <c r="K233" s="159"/>
      <c r="L233" s="159"/>
      <c r="M233" s="159"/>
      <c r="N233" s="159"/>
      <c r="O233" s="159"/>
      <c r="P233" s="726">
        <f>ROUND(P166+P175+P184+P193+P202+P211+P220+P231,0)</f>
        <v>0</v>
      </c>
      <c r="Q233" s="726"/>
      <c r="R233" s="159"/>
      <c r="S233" s="159"/>
      <c r="T233" s="327"/>
      <c r="U233" s="159"/>
      <c r="V233" s="159"/>
      <c r="W233" s="159"/>
      <c r="X233" s="159"/>
      <c r="Y233" s="159"/>
      <c r="Z233" s="159"/>
      <c r="AA233" s="159"/>
      <c r="AB233" s="159"/>
      <c r="AC233" s="726">
        <f>ROUND(AC166+AC175+AC184+AC193+AC202+AC211+AC220+AC231,0)</f>
        <v>0</v>
      </c>
      <c r="AD233" s="726"/>
      <c r="AE233" s="328"/>
      <c r="AF233" s="159"/>
      <c r="AG233" s="159"/>
      <c r="AH233" s="159"/>
      <c r="AI233" s="159"/>
      <c r="AJ233" s="159"/>
      <c r="AK233" s="159"/>
      <c r="AL233" s="159"/>
      <c r="AM233" s="159"/>
      <c r="AN233" s="159"/>
      <c r="AO233" s="159"/>
      <c r="AP233" s="775">
        <f>ROUND(SUM(P233:AE233),0)</f>
        <v>0</v>
      </c>
      <c r="AQ233" s="775"/>
      <c r="AS233" s="323">
        <f>SUM(AS11:AS232)</f>
        <v>0</v>
      </c>
      <c r="AU233" s="322">
        <f>SUM(AU11:AU232)</f>
        <v>0</v>
      </c>
    </row>
    <row r="234" spans="1:47" ht="3" customHeight="1" x14ac:dyDescent="0.3">
      <c r="B234" s="125"/>
      <c r="C234" s="109"/>
      <c r="D234" s="115"/>
      <c r="E234" s="115"/>
      <c r="F234" s="116"/>
      <c r="G234" s="116"/>
      <c r="P234" s="278"/>
      <c r="Q234" s="278"/>
      <c r="T234" s="323"/>
      <c r="AC234" s="278"/>
      <c r="AD234" s="278"/>
      <c r="AE234" s="322"/>
      <c r="AS234" s="323"/>
      <c r="AU234" s="322"/>
    </row>
    <row r="235" spans="1:47" x14ac:dyDescent="0.3">
      <c r="A235" s="109" t="s">
        <v>676</v>
      </c>
      <c r="B235" s="160" t="s">
        <v>833</v>
      </c>
      <c r="C235" s="158"/>
      <c r="D235" s="170"/>
      <c r="E235" s="170"/>
      <c r="F235" s="171"/>
      <c r="G235" s="171"/>
      <c r="H235" s="159"/>
      <c r="I235" s="159"/>
      <c r="J235" s="159"/>
      <c r="K235" s="159"/>
      <c r="L235" s="159"/>
      <c r="M235" s="159"/>
      <c r="N235" s="159"/>
      <c r="O235" s="159"/>
      <c r="P235" s="726">
        <f>ROUND(P43+P67+P76+P103+P151+P233,0)</f>
        <v>0</v>
      </c>
      <c r="Q235" s="726"/>
      <c r="R235" s="159"/>
      <c r="S235" s="159"/>
      <c r="T235" s="327"/>
      <c r="U235" s="159"/>
      <c r="V235" s="159"/>
      <c r="W235" s="159"/>
      <c r="X235" s="159"/>
      <c r="Y235" s="159"/>
      <c r="Z235" s="159"/>
      <c r="AA235" s="159"/>
      <c r="AB235" s="159"/>
      <c r="AC235" s="726">
        <f>ROUND(AC43+AC67+AC76+AC103+AC151+AC233,0)</f>
        <v>0</v>
      </c>
      <c r="AD235" s="726"/>
      <c r="AE235" s="328"/>
      <c r="AF235" s="159"/>
      <c r="AG235" s="159"/>
      <c r="AH235" s="159"/>
      <c r="AI235" s="159"/>
      <c r="AJ235" s="159"/>
      <c r="AK235" s="159"/>
      <c r="AL235" s="159"/>
      <c r="AM235" s="159"/>
      <c r="AN235" s="159"/>
      <c r="AO235" s="159"/>
      <c r="AP235" s="776">
        <f>ROUND(AP43+AP67+AP76+AP103+AP151+AP233,0)</f>
        <v>0</v>
      </c>
      <c r="AQ235" s="776"/>
      <c r="AS235" s="519"/>
      <c r="AU235" s="520"/>
    </row>
    <row r="236" spans="1:47" ht="3" customHeight="1" x14ac:dyDescent="0.3">
      <c r="B236" s="125"/>
      <c r="C236" s="109"/>
      <c r="D236" s="115"/>
      <c r="E236" s="115"/>
      <c r="F236" s="116"/>
      <c r="G236" s="116"/>
      <c r="P236" s="278"/>
      <c r="Q236" s="278"/>
      <c r="T236" s="323"/>
      <c r="AC236" s="278"/>
      <c r="AD236" s="278"/>
      <c r="AE236" s="322"/>
      <c r="AS236" s="325"/>
      <c r="AT236" s="134"/>
      <c r="AU236" s="326"/>
    </row>
    <row r="237" spans="1:47" x14ac:dyDescent="0.3">
      <c r="A237" s="109" t="s">
        <v>678</v>
      </c>
      <c r="B237" s="109" t="s">
        <v>779</v>
      </c>
      <c r="T237" s="323"/>
      <c r="AE237" s="322"/>
    </row>
    <row r="238" spans="1:47" ht="3" customHeight="1" x14ac:dyDescent="0.3">
      <c r="T238" s="323"/>
      <c r="AE238" s="322"/>
    </row>
    <row r="239" spans="1:47" x14ac:dyDescent="0.3">
      <c r="B239" s="106" t="s">
        <v>834</v>
      </c>
      <c r="C239" s="138"/>
      <c r="T239" s="323"/>
      <c r="AE239" s="322"/>
    </row>
    <row r="240" spans="1:47" x14ac:dyDescent="0.3">
      <c r="B240" s="138"/>
      <c r="C240" s="138" t="s">
        <v>685</v>
      </c>
      <c r="P240" s="731">
        <f>P235</f>
        <v>0</v>
      </c>
      <c r="Q240" s="731"/>
      <c r="T240" s="323"/>
      <c r="AC240" s="731">
        <f>AC235</f>
        <v>0</v>
      </c>
      <c r="AD240" s="731"/>
      <c r="AE240" s="322"/>
      <c r="AP240" s="728">
        <f>ROUND(SUM(P240:AC240),0)</f>
        <v>0</v>
      </c>
      <c r="AQ240" s="728"/>
    </row>
    <row r="241" spans="1:43" ht="14.4" x14ac:dyDescent="0.3">
      <c r="B241" s="138"/>
      <c r="C241" s="138" t="s">
        <v>686</v>
      </c>
      <c r="D241" s="139"/>
      <c r="E241" s="139"/>
      <c r="F241" s="140"/>
      <c r="G241" s="140"/>
      <c r="P241" s="731">
        <f>-AS233</f>
        <v>0</v>
      </c>
      <c r="Q241" s="731"/>
      <c r="T241" s="323"/>
      <c r="AC241" s="731">
        <f>-AU233</f>
        <v>0</v>
      </c>
      <c r="AD241" s="731"/>
      <c r="AE241" s="322"/>
      <c r="AP241" s="728">
        <f>ROUND(SUM(P241:AC241),0)</f>
        <v>0</v>
      </c>
      <c r="AQ241" s="728"/>
    </row>
    <row r="242" spans="1:43" ht="3" customHeight="1" x14ac:dyDescent="0.3">
      <c r="B242" s="138"/>
      <c r="C242" s="138"/>
      <c r="D242" s="139"/>
      <c r="E242" s="139"/>
      <c r="F242" s="140"/>
      <c r="G242" s="140"/>
      <c r="P242" s="296"/>
      <c r="Q242" s="296"/>
      <c r="T242" s="323"/>
      <c r="AC242" s="296"/>
      <c r="AD242" s="296"/>
      <c r="AE242" s="322"/>
      <c r="AP242" s="300"/>
      <c r="AQ242" s="300"/>
    </row>
    <row r="243" spans="1:43" ht="14.4" x14ac:dyDescent="0.3">
      <c r="B243" s="138" t="s">
        <v>687</v>
      </c>
      <c r="C243" s="138"/>
      <c r="D243" s="139"/>
      <c r="E243" s="139"/>
      <c r="F243" s="140"/>
      <c r="G243" s="140"/>
      <c r="P243" s="764">
        <f>SUM(P240:Q242)</f>
        <v>0</v>
      </c>
      <c r="Q243" s="764"/>
      <c r="T243" s="323"/>
      <c r="AC243" s="764">
        <f>SUM(AC240:AD242)</f>
        <v>0</v>
      </c>
      <c r="AD243" s="764"/>
      <c r="AE243" s="322"/>
      <c r="AP243" s="762">
        <f>ROUND(SUM(P243:AC243),0)</f>
        <v>0</v>
      </c>
      <c r="AQ243" s="762"/>
    </row>
    <row r="244" spans="1:43" ht="3" customHeight="1" x14ac:dyDescent="0.3">
      <c r="B244" s="138"/>
      <c r="C244" s="138"/>
      <c r="D244" s="139"/>
      <c r="E244" s="139"/>
      <c r="F244" s="140"/>
      <c r="G244" s="140"/>
      <c r="T244" s="323"/>
      <c r="AE244" s="322"/>
    </row>
    <row r="245" spans="1:43" ht="14.4" x14ac:dyDescent="0.3">
      <c r="B245" s="142"/>
      <c r="C245" s="138" t="str">
        <f>CONCATENATE("SDSM&amp;T  Indirect  @ ",TEXT(INDIRECT,"0.0%"))</f>
        <v>SDSM&amp;T  Indirect  @ 42.0%</v>
      </c>
      <c r="D245" s="139"/>
      <c r="E245" s="139"/>
      <c r="F245" s="140"/>
      <c r="G245" s="140"/>
      <c r="P245" s="739">
        <f>ROUND(P243*INDIRECT,0)</f>
        <v>0</v>
      </c>
      <c r="Q245" s="739"/>
      <c r="T245" s="323"/>
      <c r="AC245" s="739">
        <f>ROUND(AC243*INDIRECT,0)</f>
        <v>0</v>
      </c>
      <c r="AD245" s="739"/>
      <c r="AE245" s="322"/>
      <c r="AP245" s="765">
        <f>ROUND(SUM(P245:AE245),0)</f>
        <v>0</v>
      </c>
      <c r="AQ245" s="765"/>
    </row>
    <row r="246" spans="1:43" ht="3" customHeight="1" x14ac:dyDescent="0.3">
      <c r="B246" s="138"/>
      <c r="C246" s="138"/>
      <c r="D246" s="139"/>
      <c r="E246" s="139"/>
      <c r="F246" s="140"/>
      <c r="G246" s="140"/>
      <c r="T246" s="323"/>
      <c r="AE246" s="322"/>
    </row>
    <row r="247" spans="1:43" x14ac:dyDescent="0.3">
      <c r="B247" s="142"/>
      <c r="D247" s="138" t="str">
        <f>"SDSM&amp;T Unrecovered Indirect @ "&amp;TEXT(-COSTSHARERATE,"0.0%")</f>
        <v>SDSM&amp;T Unrecovered Indirect @ 0.0%</v>
      </c>
      <c r="E247" s="138"/>
      <c r="F247" s="143"/>
      <c r="G247" s="143"/>
      <c r="P247" s="739">
        <f>-(P245-P249)</f>
        <v>0</v>
      </c>
      <c r="Q247" s="739"/>
      <c r="T247" s="323"/>
      <c r="AC247" s="739">
        <f>-P247</f>
        <v>0</v>
      </c>
      <c r="AD247" s="739"/>
      <c r="AE247" s="322"/>
      <c r="AP247" s="765">
        <f>ROUND(SUM(P247:AE247),0)</f>
        <v>0</v>
      </c>
      <c r="AQ247" s="765"/>
    </row>
    <row r="248" spans="1:43" ht="3" customHeight="1" x14ac:dyDescent="0.3">
      <c r="B248" s="138"/>
      <c r="C248" s="138"/>
      <c r="D248" s="139"/>
      <c r="E248" s="139"/>
      <c r="F248" s="140"/>
      <c r="G248" s="140"/>
      <c r="T248" s="323"/>
      <c r="AE248" s="322"/>
    </row>
    <row r="249" spans="1:43" ht="14.4" x14ac:dyDescent="0.3">
      <c r="B249" s="142"/>
      <c r="C249" s="138" t="str">
        <f>"SDSM&amp;T Indirect Recovered @ "&amp;TEXT(RECOVERED,"0.0%")</f>
        <v>SDSM&amp;T Indirect Recovered @ 42.0%</v>
      </c>
      <c r="D249" s="139"/>
      <c r="E249" s="139"/>
      <c r="F249" s="140"/>
      <c r="G249" s="140"/>
      <c r="P249" s="739">
        <f>ROUND(P243*RECOVERED,0)</f>
        <v>0</v>
      </c>
      <c r="Q249" s="739"/>
      <c r="T249" s="323"/>
      <c r="AC249" s="739"/>
      <c r="AD249" s="739"/>
      <c r="AE249" s="322"/>
      <c r="AP249" s="765">
        <f>ROUND(SUM(P249:AE249),0)</f>
        <v>0</v>
      </c>
      <c r="AQ249" s="765"/>
    </row>
    <row r="250" spans="1:43" ht="3" customHeight="1" x14ac:dyDescent="0.3">
      <c r="B250" s="134"/>
      <c r="C250" s="134"/>
      <c r="D250" s="144"/>
      <c r="E250" s="144"/>
      <c r="F250" s="145"/>
      <c r="G250" s="145"/>
      <c r="H250" s="134"/>
      <c r="I250" s="134"/>
      <c r="J250" s="134"/>
      <c r="K250" s="134"/>
      <c r="L250" s="134"/>
      <c r="M250" s="134"/>
      <c r="N250" s="134"/>
      <c r="O250" s="134"/>
      <c r="P250" s="296"/>
      <c r="Q250" s="296"/>
      <c r="R250" s="134"/>
      <c r="S250" s="134"/>
      <c r="T250" s="325"/>
      <c r="U250" s="134"/>
      <c r="V250" s="134"/>
      <c r="W250" s="134"/>
      <c r="X250" s="134"/>
      <c r="Y250" s="134"/>
      <c r="Z250" s="134"/>
      <c r="AA250" s="134"/>
      <c r="AB250" s="134"/>
      <c r="AC250" s="296"/>
      <c r="AD250" s="296"/>
      <c r="AE250" s="326"/>
      <c r="AF250" s="134"/>
      <c r="AG250" s="134"/>
      <c r="AH250" s="134"/>
      <c r="AI250" s="134"/>
      <c r="AJ250" s="134"/>
      <c r="AK250" s="134"/>
      <c r="AL250" s="134"/>
      <c r="AM250" s="134"/>
      <c r="AN250" s="134"/>
      <c r="AO250" s="134"/>
      <c r="AP250" s="137"/>
      <c r="AQ250" s="137"/>
    </row>
    <row r="251" spans="1:43" ht="14.4" x14ac:dyDescent="0.3">
      <c r="B251" s="158" t="str">
        <f>CONCATENATE("TOTAL ALL ",B237)</f>
        <v>TOTAL ALL INDIRECT COSTS</v>
      </c>
      <c r="C251" s="159"/>
      <c r="D251" s="172"/>
      <c r="E251" s="172"/>
      <c r="F251" s="173"/>
      <c r="G251" s="173"/>
      <c r="H251" s="159"/>
      <c r="I251" s="159"/>
      <c r="J251" s="159"/>
      <c r="K251" s="159"/>
      <c r="L251" s="159"/>
      <c r="M251" s="159"/>
      <c r="N251" s="159"/>
      <c r="O251" s="159"/>
      <c r="P251" s="726">
        <f>P249</f>
        <v>0</v>
      </c>
      <c r="Q251" s="726"/>
      <c r="R251" s="159"/>
      <c r="S251" s="159"/>
      <c r="T251" s="327"/>
      <c r="U251" s="159"/>
      <c r="V251" s="159"/>
      <c r="W251" s="159"/>
      <c r="X251" s="159"/>
      <c r="Y251" s="159"/>
      <c r="Z251" s="159"/>
      <c r="AA251" s="159"/>
      <c r="AB251" s="159"/>
      <c r="AC251" s="726">
        <f>SUM(AC245:AD249)</f>
        <v>0</v>
      </c>
      <c r="AD251" s="726"/>
      <c r="AE251" s="328"/>
      <c r="AF251" s="159"/>
      <c r="AG251" s="159"/>
      <c r="AH251" s="159"/>
      <c r="AI251" s="159"/>
      <c r="AJ251" s="159"/>
      <c r="AK251" s="159"/>
      <c r="AL251" s="159"/>
      <c r="AM251" s="159"/>
      <c r="AN251" s="159"/>
      <c r="AO251" s="159"/>
      <c r="AP251" s="775">
        <f>ROUND(SUM(P251:AE251),0)</f>
        <v>0</v>
      </c>
      <c r="AQ251" s="775"/>
    </row>
    <row r="252" spans="1:43" ht="3" customHeight="1" x14ac:dyDescent="0.3">
      <c r="D252" s="139"/>
      <c r="E252" s="139"/>
      <c r="F252" s="140"/>
      <c r="G252" s="140"/>
      <c r="T252" s="323"/>
      <c r="AE252" s="322"/>
    </row>
    <row r="253" spans="1:43" ht="14.4" x14ac:dyDescent="0.3">
      <c r="A253" s="109" t="s">
        <v>680</v>
      </c>
      <c r="B253" s="174" t="s">
        <v>835</v>
      </c>
      <c r="C253" s="159"/>
      <c r="D253" s="172"/>
      <c r="E253" s="172"/>
      <c r="F253" s="173"/>
      <c r="G253" s="173"/>
      <c r="H253" s="159"/>
      <c r="I253" s="159"/>
      <c r="J253" s="159"/>
      <c r="K253" s="159"/>
      <c r="L253" s="159"/>
      <c r="M253" s="159"/>
      <c r="N253" s="159"/>
      <c r="O253" s="159"/>
      <c r="P253" s="726">
        <f>ROUND(P251+P235,0)</f>
        <v>0</v>
      </c>
      <c r="Q253" s="726"/>
      <c r="R253" s="159"/>
      <c r="S253" s="159"/>
      <c r="T253" s="327"/>
      <c r="U253" s="159"/>
      <c r="V253" s="159"/>
      <c r="W253" s="159"/>
      <c r="X253" s="159"/>
      <c r="Y253" s="159"/>
      <c r="Z253" s="159"/>
      <c r="AA253" s="159"/>
      <c r="AB253" s="159"/>
      <c r="AC253" s="726">
        <f>ROUND(AC251+AC235,0)</f>
        <v>0</v>
      </c>
      <c r="AD253" s="726"/>
      <c r="AE253" s="328"/>
      <c r="AF253" s="159"/>
      <c r="AG253" s="159"/>
      <c r="AH253" s="159"/>
      <c r="AI253" s="159"/>
      <c r="AJ253" s="159"/>
      <c r="AK253" s="159"/>
      <c r="AL253" s="159"/>
      <c r="AM253" s="159"/>
      <c r="AN253" s="159"/>
      <c r="AO253" s="159"/>
      <c r="AP253" s="776">
        <f>ROUND(SUM(P253:AE253),0)</f>
        <v>0</v>
      </c>
      <c r="AQ253" s="776"/>
    </row>
    <row r="254" spans="1:43" ht="3" customHeight="1" x14ac:dyDescent="0.3">
      <c r="D254" s="139"/>
      <c r="E254" s="139"/>
      <c r="F254" s="140"/>
      <c r="G254" s="140"/>
      <c r="T254" s="323"/>
      <c r="AE254" s="322"/>
    </row>
    <row r="255" spans="1:43" x14ac:dyDescent="0.3">
      <c r="B255" s="125" t="s">
        <v>690</v>
      </c>
      <c r="C255" s="106" t="s">
        <v>691</v>
      </c>
      <c r="T255" s="323"/>
      <c r="AE255" s="322"/>
    </row>
    <row r="256" spans="1:43" ht="3" customHeight="1" x14ac:dyDescent="0.3">
      <c r="T256" s="323"/>
      <c r="AE256" s="322"/>
    </row>
    <row r="257" spans="1:43" x14ac:dyDescent="0.3">
      <c r="A257" s="109" t="s">
        <v>682</v>
      </c>
      <c r="B257" s="158" t="s">
        <v>838</v>
      </c>
      <c r="C257" s="158"/>
      <c r="D257" s="158"/>
      <c r="E257" s="158"/>
      <c r="F257" s="309"/>
      <c r="G257" s="309"/>
      <c r="H257" s="158"/>
      <c r="I257" s="158"/>
      <c r="J257" s="158"/>
      <c r="K257" s="158"/>
      <c r="L257" s="158"/>
      <c r="M257" s="158"/>
      <c r="N257" s="158"/>
      <c r="O257" s="159"/>
      <c r="P257" s="726">
        <f>ROUND(P253*Data!$E$36,0)</f>
        <v>0</v>
      </c>
      <c r="Q257" s="726"/>
      <c r="R257" s="158"/>
      <c r="S257" s="158"/>
      <c r="T257" s="439"/>
      <c r="U257" s="158"/>
      <c r="V257" s="158"/>
      <c r="W257" s="158"/>
      <c r="X257" s="158"/>
      <c r="Y257" s="158"/>
      <c r="Z257" s="158"/>
      <c r="AA257" s="158"/>
      <c r="AB257" s="159"/>
      <c r="AC257" s="726">
        <f>ROUND(AC253*Data!$E$36,0)</f>
        <v>0</v>
      </c>
      <c r="AD257" s="726"/>
      <c r="AE257" s="440"/>
      <c r="AF257" s="309"/>
      <c r="AG257" s="158"/>
      <c r="AH257" s="158"/>
      <c r="AI257" s="158"/>
      <c r="AJ257" s="158"/>
      <c r="AK257" s="158"/>
      <c r="AL257" s="158"/>
      <c r="AM257" s="158"/>
      <c r="AN257" s="158"/>
      <c r="AO257" s="159"/>
      <c r="AP257" s="726">
        <f>ROUND(AP253*Data!$E$36,0)</f>
        <v>0</v>
      </c>
      <c r="AQ257" s="726"/>
    </row>
    <row r="258" spans="1:43" ht="3" customHeight="1" x14ac:dyDescent="0.3">
      <c r="T258" s="323"/>
      <c r="AE258" s="322"/>
    </row>
    <row r="259" spans="1:43" x14ac:dyDescent="0.3">
      <c r="A259" s="109" t="s">
        <v>688</v>
      </c>
      <c r="B259" s="158" t="s">
        <v>837</v>
      </c>
      <c r="C259" s="158"/>
      <c r="D259" s="158"/>
      <c r="E259" s="158"/>
      <c r="F259" s="309"/>
      <c r="G259" s="309"/>
      <c r="H259" s="158"/>
      <c r="I259" s="158"/>
      <c r="J259" s="158"/>
      <c r="K259" s="158"/>
      <c r="L259" s="158"/>
      <c r="M259" s="158"/>
      <c r="N259" s="158"/>
      <c r="O259" s="158"/>
      <c r="P259" s="288"/>
      <c r="Q259" s="288">
        <f>P257+P253</f>
        <v>0</v>
      </c>
      <c r="R259" s="158"/>
      <c r="S259" s="158"/>
      <c r="T259" s="439"/>
      <c r="U259" s="158"/>
      <c r="V259" s="158"/>
      <c r="W259" s="158"/>
      <c r="X259" s="158"/>
      <c r="Y259" s="158"/>
      <c r="Z259" s="158"/>
      <c r="AA259" s="158"/>
      <c r="AB259" s="158"/>
      <c r="AC259" s="288"/>
      <c r="AD259" s="288">
        <f>AC257+AC253</f>
        <v>0</v>
      </c>
      <c r="AE259" s="441"/>
      <c r="AF259" s="158"/>
      <c r="AG259" s="158"/>
      <c r="AH259" s="158"/>
      <c r="AI259" s="158"/>
      <c r="AJ259" s="158"/>
      <c r="AK259" s="158"/>
      <c r="AL259" s="158"/>
      <c r="AM259" s="158"/>
      <c r="AN259" s="158"/>
      <c r="AO259" s="158"/>
      <c r="AP259" s="606"/>
      <c r="AQ259" s="288">
        <f>AP257+AP253</f>
        <v>0</v>
      </c>
    </row>
    <row r="260" spans="1:43" ht="5.25" customHeight="1" x14ac:dyDescent="0.3">
      <c r="T260" s="325"/>
      <c r="U260" s="134"/>
      <c r="V260" s="134"/>
      <c r="W260" s="134"/>
      <c r="X260" s="134"/>
      <c r="Y260" s="134"/>
      <c r="Z260" s="134"/>
      <c r="AA260" s="134"/>
      <c r="AB260" s="134"/>
      <c r="AC260" s="296"/>
      <c r="AD260" s="296"/>
      <c r="AE260" s="326"/>
    </row>
  </sheetData>
  <mergeCells count="481">
    <mergeCell ref="P251:Q251"/>
    <mergeCell ref="AC251:AD251"/>
    <mergeCell ref="AP251:AQ251"/>
    <mergeCell ref="P253:Q253"/>
    <mergeCell ref="AC253:AD253"/>
    <mergeCell ref="AP253:AQ253"/>
    <mergeCell ref="P247:Q247"/>
    <mergeCell ref="AC247:AD247"/>
    <mergeCell ref="AP247:AQ247"/>
    <mergeCell ref="P249:Q249"/>
    <mergeCell ref="AC249:AD249"/>
    <mergeCell ref="AP249:AQ249"/>
    <mergeCell ref="P235:Q235"/>
    <mergeCell ref="AC235:AD235"/>
    <mergeCell ref="AP235:AQ235"/>
    <mergeCell ref="P245:Q245"/>
    <mergeCell ref="AC245:AD245"/>
    <mergeCell ref="AP245:AQ245"/>
    <mergeCell ref="P231:Q231"/>
    <mergeCell ref="AC231:AD231"/>
    <mergeCell ref="AP231:AQ231"/>
    <mergeCell ref="P233:Q233"/>
    <mergeCell ref="AC233:AD233"/>
    <mergeCell ref="AP233:AQ233"/>
    <mergeCell ref="P240:Q240"/>
    <mergeCell ref="P241:Q241"/>
    <mergeCell ref="P243:Q243"/>
    <mergeCell ref="AC243:AD243"/>
    <mergeCell ref="AC241:AD241"/>
    <mergeCell ref="AC240:AD240"/>
    <mergeCell ref="AP241:AQ241"/>
    <mergeCell ref="AP243:AQ243"/>
    <mergeCell ref="AP240:AQ240"/>
    <mergeCell ref="P230:Q230"/>
    <mergeCell ref="AC230:AD230"/>
    <mergeCell ref="AP230:AQ230"/>
    <mergeCell ref="P228:Q228"/>
    <mergeCell ref="AC228:AD228"/>
    <mergeCell ref="AP228:AQ228"/>
    <mergeCell ref="P229:Q229"/>
    <mergeCell ref="AC229:AD229"/>
    <mergeCell ref="AP229:AQ229"/>
    <mergeCell ref="P226:Q226"/>
    <mergeCell ref="AC226:AD226"/>
    <mergeCell ref="AP226:AQ226"/>
    <mergeCell ref="P227:Q227"/>
    <mergeCell ref="AC227:AD227"/>
    <mergeCell ref="AP227:AQ227"/>
    <mergeCell ref="P224:Q224"/>
    <mergeCell ref="AC224:AD224"/>
    <mergeCell ref="AP224:AQ224"/>
    <mergeCell ref="P225:Q225"/>
    <mergeCell ref="AC225:AD225"/>
    <mergeCell ref="AP225:AQ225"/>
    <mergeCell ref="P220:Q220"/>
    <mergeCell ref="AC220:AD220"/>
    <mergeCell ref="AP220:AQ220"/>
    <mergeCell ref="P223:Q223"/>
    <mergeCell ref="AC223:AD223"/>
    <mergeCell ref="AP223:AQ223"/>
    <mergeCell ref="P218:Q218"/>
    <mergeCell ref="AC218:AD218"/>
    <mergeCell ref="AP218:AQ218"/>
    <mergeCell ref="P219:Q219"/>
    <mergeCell ref="AC219:AD219"/>
    <mergeCell ref="AP219:AQ219"/>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P210:Q210"/>
    <mergeCell ref="AC210:AD210"/>
    <mergeCell ref="AP210:AQ210"/>
    <mergeCell ref="P211:Q211"/>
    <mergeCell ref="AC211:AD211"/>
    <mergeCell ref="AP211:AQ211"/>
    <mergeCell ref="P208:Q208"/>
    <mergeCell ref="AC208:AD208"/>
    <mergeCell ref="AP208:AQ208"/>
    <mergeCell ref="P209:Q209"/>
    <mergeCell ref="AC209:AD209"/>
    <mergeCell ref="AP209:AQ209"/>
    <mergeCell ref="P206:Q206"/>
    <mergeCell ref="AC206:AD206"/>
    <mergeCell ref="AP206:AQ206"/>
    <mergeCell ref="P207:Q207"/>
    <mergeCell ref="AC207:AD207"/>
    <mergeCell ref="AP207:AQ207"/>
    <mergeCell ref="P202:Q202"/>
    <mergeCell ref="AC202:AD202"/>
    <mergeCell ref="AP202:AQ202"/>
    <mergeCell ref="P205:Q205"/>
    <mergeCell ref="AC205:AD205"/>
    <mergeCell ref="AP205:AQ205"/>
    <mergeCell ref="P200:Q200"/>
    <mergeCell ref="AC200:AD200"/>
    <mergeCell ref="AP200:AQ200"/>
    <mergeCell ref="P201:Q201"/>
    <mergeCell ref="AC201:AD201"/>
    <mergeCell ref="AP201:AQ201"/>
    <mergeCell ref="P198:Q198"/>
    <mergeCell ref="AC198:AD198"/>
    <mergeCell ref="AP198:AQ198"/>
    <mergeCell ref="P199:Q199"/>
    <mergeCell ref="AC199:AD199"/>
    <mergeCell ref="AP199:AQ199"/>
    <mergeCell ref="P196:Q196"/>
    <mergeCell ref="AC196:AD196"/>
    <mergeCell ref="AP196:AQ196"/>
    <mergeCell ref="P197:Q197"/>
    <mergeCell ref="AC197:AD197"/>
    <mergeCell ref="AP197:AQ197"/>
    <mergeCell ref="P192:Q192"/>
    <mergeCell ref="AC192:AD192"/>
    <mergeCell ref="AP192:AQ192"/>
    <mergeCell ref="P193:Q193"/>
    <mergeCell ref="AC193:AD193"/>
    <mergeCell ref="AP193:AQ193"/>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70:Q170"/>
    <mergeCell ref="AC170:AD170"/>
    <mergeCell ref="AP170:AQ170"/>
    <mergeCell ref="P171:Q171"/>
    <mergeCell ref="AC171:AD171"/>
    <mergeCell ref="AP171:AQ171"/>
    <mergeCell ref="P166:Q166"/>
    <mergeCell ref="AC166:AD166"/>
    <mergeCell ref="AP166:AQ166"/>
    <mergeCell ref="P169:Q169"/>
    <mergeCell ref="AC169:AD169"/>
    <mergeCell ref="AP169:AQ169"/>
    <mergeCell ref="P164:Q164"/>
    <mergeCell ref="AC164:AD164"/>
    <mergeCell ref="AP164:AQ164"/>
    <mergeCell ref="P165:Q165"/>
    <mergeCell ref="AC165:AD165"/>
    <mergeCell ref="AP165:AQ165"/>
    <mergeCell ref="P162:Q162"/>
    <mergeCell ref="AC162:AD162"/>
    <mergeCell ref="AP162:AQ162"/>
    <mergeCell ref="P163:Q163"/>
    <mergeCell ref="AC163:AD163"/>
    <mergeCell ref="AP163:AQ163"/>
    <mergeCell ref="P155:Q155"/>
    <mergeCell ref="AC155:AD155"/>
    <mergeCell ref="AP155:AQ155"/>
    <mergeCell ref="P161:Q161"/>
    <mergeCell ref="AC161:AD161"/>
    <mergeCell ref="AP161:AQ161"/>
    <mergeCell ref="B150:L150"/>
    <mergeCell ref="P150:Q150"/>
    <mergeCell ref="AC150:AD150"/>
    <mergeCell ref="AP150:AQ150"/>
    <mergeCell ref="P151:Q151"/>
    <mergeCell ref="AC151:AD151"/>
    <mergeCell ref="AP151:AQ151"/>
    <mergeCell ref="P156:Q156"/>
    <mergeCell ref="P157:Q157"/>
    <mergeCell ref="P158:Q158"/>
    <mergeCell ref="P159:Q159"/>
    <mergeCell ref="P160:Q160"/>
    <mergeCell ref="P148:Q148"/>
    <mergeCell ref="AC148:AD148"/>
    <mergeCell ref="AP148:AQ148"/>
    <mergeCell ref="P149:Q149"/>
    <mergeCell ref="AC149:AD149"/>
    <mergeCell ref="AP149:AQ149"/>
    <mergeCell ref="P146:Q146"/>
    <mergeCell ref="AC146:AD146"/>
    <mergeCell ref="AP146:AQ146"/>
    <mergeCell ref="P147:Q147"/>
    <mergeCell ref="AC147:AD147"/>
    <mergeCell ref="AP147:AQ147"/>
    <mergeCell ref="P144:Q144"/>
    <mergeCell ref="AC144:AD144"/>
    <mergeCell ref="AP144:AQ144"/>
    <mergeCell ref="P145:Q145"/>
    <mergeCell ref="AC145:AD145"/>
    <mergeCell ref="AP145:AQ145"/>
    <mergeCell ref="P140:Q140"/>
    <mergeCell ref="AC140:AD140"/>
    <mergeCell ref="AP140:AQ140"/>
    <mergeCell ref="P143:Q143"/>
    <mergeCell ref="AC143:AD143"/>
    <mergeCell ref="AP143:AQ143"/>
    <mergeCell ref="P138:Q138"/>
    <mergeCell ref="AC138:AD138"/>
    <mergeCell ref="AP138:AQ138"/>
    <mergeCell ref="P139:Q139"/>
    <mergeCell ref="AC139:AD139"/>
    <mergeCell ref="AP139:AQ139"/>
    <mergeCell ref="P136:Q136"/>
    <mergeCell ref="AC136:AD136"/>
    <mergeCell ref="AP136:AQ136"/>
    <mergeCell ref="P137:Q137"/>
    <mergeCell ref="AC137:AD137"/>
    <mergeCell ref="AP137:AQ137"/>
    <mergeCell ref="P134:Q134"/>
    <mergeCell ref="AC134:AD134"/>
    <mergeCell ref="AP134:AQ134"/>
    <mergeCell ref="P135:Q135"/>
    <mergeCell ref="AC135:AD135"/>
    <mergeCell ref="AP135:AQ135"/>
    <mergeCell ref="P130:Q130"/>
    <mergeCell ref="AC130:AD130"/>
    <mergeCell ref="AP130:AQ130"/>
    <mergeCell ref="P131:Q131"/>
    <mergeCell ref="AC131:AD131"/>
    <mergeCell ref="AP131:AQ131"/>
    <mergeCell ref="P128:Q128"/>
    <mergeCell ref="AC128:AD128"/>
    <mergeCell ref="AP128:AQ128"/>
    <mergeCell ref="P129:Q129"/>
    <mergeCell ref="AC129:AD129"/>
    <mergeCell ref="AP129:AQ129"/>
    <mergeCell ref="P126:Q126"/>
    <mergeCell ref="AC126:AD126"/>
    <mergeCell ref="AP126:AQ126"/>
    <mergeCell ref="P127:Q127"/>
    <mergeCell ref="AC127:AD127"/>
    <mergeCell ref="AP127:AQ127"/>
    <mergeCell ref="P122:Q122"/>
    <mergeCell ref="AC122:AD122"/>
    <mergeCell ref="AP122:AQ122"/>
    <mergeCell ref="P125:Q125"/>
    <mergeCell ref="AC125:AD125"/>
    <mergeCell ref="AP125:AQ125"/>
    <mergeCell ref="P120:Q120"/>
    <mergeCell ref="AC120:AD120"/>
    <mergeCell ref="AP120:AQ120"/>
    <mergeCell ref="P121:Q121"/>
    <mergeCell ref="AC121:AD121"/>
    <mergeCell ref="AP121:AQ12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12:Q112"/>
    <mergeCell ref="AC112:AD112"/>
    <mergeCell ref="AP112:AQ112"/>
    <mergeCell ref="P113:Q113"/>
    <mergeCell ref="AC113:AD113"/>
    <mergeCell ref="AP113:AQ113"/>
    <mergeCell ref="P110:Q110"/>
    <mergeCell ref="AC110:AD110"/>
    <mergeCell ref="AP110:AQ110"/>
    <mergeCell ref="P111:Q111"/>
    <mergeCell ref="AC111:AD111"/>
    <mergeCell ref="AP111:AQ111"/>
    <mergeCell ref="P108:Q108"/>
    <mergeCell ref="AC108:AD108"/>
    <mergeCell ref="AP108:AQ108"/>
    <mergeCell ref="P109:Q109"/>
    <mergeCell ref="AC109:AD109"/>
    <mergeCell ref="AP109:AQ109"/>
    <mergeCell ref="P103:Q103"/>
    <mergeCell ref="AC103:AD103"/>
    <mergeCell ref="AP103:AQ103"/>
    <mergeCell ref="P107:Q107"/>
    <mergeCell ref="AC107:AD107"/>
    <mergeCell ref="AP107:AQ107"/>
    <mergeCell ref="P101:Q101"/>
    <mergeCell ref="AC101:AD101"/>
    <mergeCell ref="AP101:AQ101"/>
    <mergeCell ref="B102:L102"/>
    <mergeCell ref="P102:Q102"/>
    <mergeCell ref="AC102:AD102"/>
    <mergeCell ref="AP102:AQ102"/>
    <mergeCell ref="P99:Q99"/>
    <mergeCell ref="AC99:AD99"/>
    <mergeCell ref="AP99:AQ99"/>
    <mergeCell ref="AC100:AD100"/>
    <mergeCell ref="AP100:AQ100"/>
    <mergeCell ref="P97:Q97"/>
    <mergeCell ref="AC97:AD97"/>
    <mergeCell ref="AP97:AQ97"/>
    <mergeCell ref="P98:Q98"/>
    <mergeCell ref="AC98:AD98"/>
    <mergeCell ref="AP98:AQ98"/>
    <mergeCell ref="AC95:AD95"/>
    <mergeCell ref="AP95:AQ95"/>
    <mergeCell ref="P96:Q96"/>
    <mergeCell ref="AC96:AD96"/>
    <mergeCell ref="AP96:AQ96"/>
    <mergeCell ref="P90:Q90"/>
    <mergeCell ref="AP87:AQ87"/>
    <mergeCell ref="AP88:AQ88"/>
    <mergeCell ref="AP89:AQ89"/>
    <mergeCell ref="AP90:AQ90"/>
    <mergeCell ref="AC81:AD81"/>
    <mergeCell ref="AP81:AQ81"/>
    <mergeCell ref="P82:Q82"/>
    <mergeCell ref="AC82:AD82"/>
    <mergeCell ref="B75:L75"/>
    <mergeCell ref="P75:Q75"/>
    <mergeCell ref="AC75:AD75"/>
    <mergeCell ref="AP75:AQ75"/>
    <mergeCell ref="B66:L66"/>
    <mergeCell ref="P66:Q66"/>
    <mergeCell ref="AC66:AD66"/>
    <mergeCell ref="AP66:AQ66"/>
    <mergeCell ref="P67:Q67"/>
    <mergeCell ref="AC67:AD67"/>
    <mergeCell ref="AP67:AQ67"/>
    <mergeCell ref="AP71:AQ71"/>
    <mergeCell ref="AP72:AQ72"/>
    <mergeCell ref="AP73:AQ73"/>
    <mergeCell ref="AP74:AQ74"/>
    <mergeCell ref="P71:Q71"/>
    <mergeCell ref="P72:Q72"/>
    <mergeCell ref="P73:Q73"/>
    <mergeCell ref="P74:Q74"/>
    <mergeCell ref="AC70:AD70"/>
    <mergeCell ref="AC71:AD71"/>
    <mergeCell ref="AC72:AD72"/>
    <mergeCell ref="AP70:AQ70"/>
    <mergeCell ref="P70:Q70"/>
    <mergeCell ref="P25:Q25"/>
    <mergeCell ref="P28:Q28"/>
    <mergeCell ref="P31:Q31"/>
    <mergeCell ref="AC25:AD25"/>
    <mergeCell ref="AC28:AD28"/>
    <mergeCell ref="AC31:AD31"/>
    <mergeCell ref="AP25:AQ26"/>
    <mergeCell ref="AC42:AD42"/>
    <mergeCell ref="AP37:AQ38"/>
    <mergeCell ref="AC40:AD40"/>
    <mergeCell ref="AW9:BG9"/>
    <mergeCell ref="P11:Q11"/>
    <mergeCell ref="AC11:AD11"/>
    <mergeCell ref="AP11:AQ11"/>
    <mergeCell ref="AW11:BA11"/>
    <mergeCell ref="BC11:BG11"/>
    <mergeCell ref="AC73:AD73"/>
    <mergeCell ref="AC74:AD74"/>
    <mergeCell ref="AP28:AQ29"/>
    <mergeCell ref="AP31:AQ32"/>
    <mergeCell ref="AS9:AU9"/>
    <mergeCell ref="AP42:AQ42"/>
    <mergeCell ref="P34:Q34"/>
    <mergeCell ref="AC34:AD34"/>
    <mergeCell ref="AP34:AQ35"/>
    <mergeCell ref="P37:Q37"/>
    <mergeCell ref="AC37:AD37"/>
    <mergeCell ref="P61:Q61"/>
    <mergeCell ref="AC61:AD61"/>
    <mergeCell ref="AP61:AQ62"/>
    <mergeCell ref="P64:Q64"/>
    <mergeCell ref="AC64:AD64"/>
    <mergeCell ref="AP64:AQ65"/>
    <mergeCell ref="P55:Q55"/>
    <mergeCell ref="P257:Q257"/>
    <mergeCell ref="AC257:AD257"/>
    <mergeCell ref="AP257:AQ257"/>
    <mergeCell ref="AP82:AQ82"/>
    <mergeCell ref="P76:Q76"/>
    <mergeCell ref="AC76:AD76"/>
    <mergeCell ref="AP76:AQ76"/>
    <mergeCell ref="AC80:AD80"/>
    <mergeCell ref="AP80:AQ80"/>
    <mergeCell ref="P81:Q81"/>
    <mergeCell ref="AC91:AD91"/>
    <mergeCell ref="AP91:AQ91"/>
    <mergeCell ref="P92:Q92"/>
    <mergeCell ref="AC92:AD92"/>
    <mergeCell ref="AP92:AQ92"/>
    <mergeCell ref="P83:Q83"/>
    <mergeCell ref="AC83:AD83"/>
    <mergeCell ref="AP83:AQ83"/>
    <mergeCell ref="P84:Q84"/>
    <mergeCell ref="AC84:AD84"/>
    <mergeCell ref="AP84:AQ84"/>
    <mergeCell ref="P87:Q87"/>
    <mergeCell ref="P88:Q88"/>
    <mergeCell ref="P89:Q89"/>
    <mergeCell ref="P49:Q49"/>
    <mergeCell ref="AC55:AD55"/>
    <mergeCell ref="AP55:AQ56"/>
    <mergeCell ref="P58:Q58"/>
    <mergeCell ref="AC58:AD58"/>
    <mergeCell ref="AP58:AQ59"/>
    <mergeCell ref="AP40:AQ41"/>
    <mergeCell ref="AC49:AD49"/>
    <mergeCell ref="AP49:AQ50"/>
    <mergeCell ref="P52:Q52"/>
    <mergeCell ref="AC52:AD52"/>
    <mergeCell ref="AP52:AQ53"/>
    <mergeCell ref="P43:Q43"/>
    <mergeCell ref="AC59:AD59"/>
    <mergeCell ref="AC43:AD43"/>
    <mergeCell ref="AP43:AQ43"/>
    <mergeCell ref="P46:Q46"/>
    <mergeCell ref="AC46:AD46"/>
    <mergeCell ref="AP46:AQ47"/>
    <mergeCell ref="B42:L42"/>
    <mergeCell ref="P42:Q42"/>
    <mergeCell ref="D2:AR2"/>
    <mergeCell ref="D4:AR4"/>
    <mergeCell ref="D5:AR5"/>
    <mergeCell ref="H8:Q8"/>
    <mergeCell ref="U8:AD8"/>
    <mergeCell ref="AH8:AQ8"/>
    <mergeCell ref="P19:Q19"/>
    <mergeCell ref="AC19:AD19"/>
    <mergeCell ref="AP19:AQ20"/>
    <mergeCell ref="P13:Q13"/>
    <mergeCell ref="AC13:AD13"/>
    <mergeCell ref="AP13:AQ14"/>
    <mergeCell ref="P16:Q16"/>
    <mergeCell ref="AC16:AD16"/>
    <mergeCell ref="AP16:AQ17"/>
    <mergeCell ref="H9:Q9"/>
    <mergeCell ref="U9:AD9"/>
    <mergeCell ref="AH9:AQ9"/>
    <mergeCell ref="P22:Q22"/>
    <mergeCell ref="AC22:AD22"/>
    <mergeCell ref="AP22:AQ23"/>
    <mergeCell ref="P40:Q40"/>
  </mergeCells>
  <conditionalFormatting sqref="J13:K13">
    <cfRule type="expression" dxfId="263" priority="408" stopIfTrue="1">
      <formula>CT13=2</formula>
    </cfRule>
  </conditionalFormatting>
  <conditionalFormatting sqref="J16:K16">
    <cfRule type="expression" dxfId="262" priority="386" stopIfTrue="1">
      <formula>CT16=2</formula>
    </cfRule>
  </conditionalFormatting>
  <conditionalFormatting sqref="J19:K19">
    <cfRule type="expression" dxfId="261" priority="364" stopIfTrue="1">
      <formula>CT19=2</formula>
    </cfRule>
  </conditionalFormatting>
  <conditionalFormatting sqref="J22:K22">
    <cfRule type="expression" dxfId="260" priority="342" stopIfTrue="1">
      <formula>CT22=2</formula>
    </cfRule>
  </conditionalFormatting>
  <conditionalFormatting sqref="J25:K25">
    <cfRule type="expression" dxfId="259" priority="189" stopIfTrue="1">
      <formula>CT25=2</formula>
    </cfRule>
  </conditionalFormatting>
  <conditionalFormatting sqref="J28:K28">
    <cfRule type="expression" dxfId="258" priority="146" stopIfTrue="1">
      <formula>CT28=2</formula>
    </cfRule>
  </conditionalFormatting>
  <conditionalFormatting sqref="J31:K31">
    <cfRule type="expression" dxfId="257" priority="103" stopIfTrue="1">
      <formula>CT31=2</formula>
    </cfRule>
  </conditionalFormatting>
  <conditionalFormatting sqref="J34:K34">
    <cfRule type="expression" dxfId="256" priority="320" stopIfTrue="1">
      <formula>CT34=2</formula>
    </cfRule>
  </conditionalFormatting>
  <conditionalFormatting sqref="J37:K37">
    <cfRule type="expression" dxfId="255" priority="298" stopIfTrue="1">
      <formula>CT37=2</formula>
    </cfRule>
  </conditionalFormatting>
  <conditionalFormatting sqref="J40:K40">
    <cfRule type="expression" dxfId="254" priority="276" stopIfTrue="1">
      <formula>CT40=2</formula>
    </cfRule>
  </conditionalFormatting>
  <conditionalFormatting sqref="J46:K46">
    <cfRule type="expression" dxfId="253" priority="4" stopIfTrue="1">
      <formula>CT46=2</formula>
    </cfRule>
  </conditionalFormatting>
  <conditionalFormatting sqref="J49:K49">
    <cfRule type="expression" dxfId="252" priority="232" stopIfTrue="1">
      <formula>CT49=2</formula>
    </cfRule>
  </conditionalFormatting>
  <conditionalFormatting sqref="J52:K52">
    <cfRule type="expression" dxfId="251" priority="720" stopIfTrue="1">
      <formula>CT52=2</formula>
    </cfRule>
  </conditionalFormatting>
  <conditionalFormatting sqref="J55:K55">
    <cfRule type="expression" dxfId="250" priority="611" stopIfTrue="1">
      <formula>CT55=2</formula>
    </cfRule>
  </conditionalFormatting>
  <conditionalFormatting sqref="J58:K58">
    <cfRule type="expression" dxfId="249" priority="630" stopIfTrue="1">
      <formula>CT58=2</formula>
    </cfRule>
  </conditionalFormatting>
  <conditionalFormatting sqref="J61:K61">
    <cfRule type="expression" dxfId="248" priority="649" stopIfTrue="1">
      <formula>CT61=2</formula>
    </cfRule>
  </conditionalFormatting>
  <conditionalFormatting sqref="J64:K64">
    <cfRule type="expression" dxfId="247" priority="668" stopIfTrue="1">
      <formula>CT64=2</formula>
    </cfRule>
  </conditionalFormatting>
  <conditionalFormatting sqref="L13">
    <cfRule type="expression" dxfId="246" priority="400" stopIfTrue="1">
      <formula>CY13=2</formula>
    </cfRule>
  </conditionalFormatting>
  <conditionalFormatting sqref="L16 L19 L22 L25 L28 L31 L34 L37 L40 L49 L52 L55 L58 L61 L64">
    <cfRule type="expression" dxfId="245" priority="76" stopIfTrue="1">
      <formula>CY16=2</formula>
    </cfRule>
  </conditionalFormatting>
  <conditionalFormatting sqref="L39:N39 Y39:AA39 AL39:AN39 L63:N63 Y63:AA63 AL63:AN63">
    <cfRule type="cellIs" dxfId="244" priority="1818" stopIfTrue="1" operator="greaterThan">
      <formula>9</formula>
    </cfRule>
  </conditionalFormatting>
  <conditionalFormatting sqref="N13">
    <cfRule type="expression" dxfId="243" priority="1134" stopIfTrue="1">
      <formula>CX13=2</formula>
    </cfRule>
  </conditionalFormatting>
  <conditionalFormatting sqref="N16">
    <cfRule type="expression" dxfId="242" priority="1115" stopIfTrue="1">
      <formula>CX16=2</formula>
    </cfRule>
  </conditionalFormatting>
  <conditionalFormatting sqref="N19">
    <cfRule type="expression" dxfId="241" priority="1096" stopIfTrue="1">
      <formula>CX19=2</formula>
    </cfRule>
  </conditionalFormatting>
  <conditionalFormatting sqref="N22">
    <cfRule type="expression" dxfId="240" priority="1077" stopIfTrue="1">
      <formula>CX22=2</formula>
    </cfRule>
  </conditionalFormatting>
  <conditionalFormatting sqref="N25">
    <cfRule type="expression" dxfId="239" priority="202" stopIfTrue="1">
      <formula>CX25=2</formula>
    </cfRule>
  </conditionalFormatting>
  <conditionalFormatting sqref="N28">
    <cfRule type="expression" dxfId="238" priority="159" stopIfTrue="1">
      <formula>CX28=2</formula>
    </cfRule>
  </conditionalFormatting>
  <conditionalFormatting sqref="N31">
    <cfRule type="expression" dxfId="237" priority="116" stopIfTrue="1">
      <formula>CX31=2</formula>
    </cfRule>
  </conditionalFormatting>
  <conditionalFormatting sqref="N34">
    <cfRule type="expression" dxfId="236" priority="1179" stopIfTrue="1">
      <formula>CX34=2</formula>
    </cfRule>
  </conditionalFormatting>
  <conditionalFormatting sqref="N37">
    <cfRule type="expression" dxfId="235" priority="1058" stopIfTrue="1">
      <formula>CX37=2</formula>
    </cfRule>
  </conditionalFormatting>
  <conditionalFormatting sqref="N40">
    <cfRule type="expression" dxfId="234" priority="1153" stopIfTrue="1">
      <formula>CX40=2</formula>
    </cfRule>
  </conditionalFormatting>
  <conditionalFormatting sqref="N46">
    <cfRule type="expression" dxfId="233" priority="1" stopIfTrue="1">
      <formula>CX46=2</formula>
    </cfRule>
  </conditionalFormatting>
  <conditionalFormatting sqref="N49">
    <cfRule type="expression" dxfId="232" priority="729" stopIfTrue="1">
      <formula>CX49=2</formula>
    </cfRule>
  </conditionalFormatting>
  <conditionalFormatting sqref="N52">
    <cfRule type="expression" dxfId="231" priority="716" stopIfTrue="1">
      <formula>CX52=2</formula>
    </cfRule>
  </conditionalFormatting>
  <conditionalFormatting sqref="N55">
    <cfRule type="expression" dxfId="230" priority="607" stopIfTrue="1">
      <formula>CX55=2</formula>
    </cfRule>
  </conditionalFormatting>
  <conditionalFormatting sqref="N58">
    <cfRule type="expression" dxfId="229" priority="626" stopIfTrue="1">
      <formula>CX58=2</formula>
    </cfRule>
  </conditionalFormatting>
  <conditionalFormatting sqref="N61">
    <cfRule type="expression" dxfId="228" priority="645" stopIfTrue="1">
      <formula>CX61=2</formula>
    </cfRule>
  </conditionalFormatting>
  <conditionalFormatting sqref="N64">
    <cfRule type="expression" dxfId="227" priority="664" stopIfTrue="1">
      <formula>CX64=2</formula>
    </cfRule>
  </conditionalFormatting>
  <conditionalFormatting sqref="W13">
    <cfRule type="expression" dxfId="226" priority="1812" stopIfTrue="1">
      <formula>DE13=2</formula>
    </cfRule>
  </conditionalFormatting>
  <conditionalFormatting sqref="W46">
    <cfRule type="expression" dxfId="225" priority="589" stopIfTrue="1">
      <formula>DE46=2</formula>
    </cfRule>
  </conditionalFormatting>
  <conditionalFormatting sqref="W13:X13">
    <cfRule type="expression" dxfId="224" priority="937" stopIfTrue="1">
      <formula>DG13=2</formula>
    </cfRule>
  </conditionalFormatting>
  <conditionalFormatting sqref="W16:X16">
    <cfRule type="expression" dxfId="223" priority="1629" stopIfTrue="1">
      <formula>DE16=2</formula>
    </cfRule>
    <cfRule type="expression" dxfId="222" priority="918" stopIfTrue="1">
      <formula>DG16=2</formula>
    </cfRule>
  </conditionalFormatting>
  <conditionalFormatting sqref="W19:X19">
    <cfRule type="expression" dxfId="221" priority="899" stopIfTrue="1">
      <formula>DG19=2</formula>
    </cfRule>
    <cfRule type="expression" dxfId="220" priority="1616" stopIfTrue="1">
      <formula>DE19=2</formula>
    </cfRule>
  </conditionalFormatting>
  <conditionalFormatting sqref="W22:X22">
    <cfRule type="expression" dxfId="219" priority="880" stopIfTrue="1">
      <formula>DG22=2</formula>
    </cfRule>
    <cfRule type="expression" dxfId="218" priority="1603" stopIfTrue="1">
      <formula>DE22=2</formula>
    </cfRule>
  </conditionalFormatting>
  <conditionalFormatting sqref="W34:X34">
    <cfRule type="expression" dxfId="217" priority="1590" stopIfTrue="1">
      <formula>DE34=2</formula>
    </cfRule>
    <cfRule type="expression" dxfId="216" priority="982" stopIfTrue="1">
      <formula>DG34=2</formula>
    </cfRule>
  </conditionalFormatting>
  <conditionalFormatting sqref="W37:X37">
    <cfRule type="expression" dxfId="215" priority="861" stopIfTrue="1">
      <formula>DG37=2</formula>
    </cfRule>
    <cfRule type="expression" dxfId="214" priority="1577" stopIfTrue="1">
      <formula>DE37=2</formula>
    </cfRule>
  </conditionalFormatting>
  <conditionalFormatting sqref="W40:X40">
    <cfRule type="expression" dxfId="213" priority="956" stopIfTrue="1">
      <formula>DG40=2</formula>
    </cfRule>
    <cfRule type="expression" dxfId="212" priority="1564" stopIfTrue="1">
      <formula>DE40=2</formula>
    </cfRule>
  </conditionalFormatting>
  <conditionalFormatting sqref="W49:X49">
    <cfRule type="expression" dxfId="211" priority="583" stopIfTrue="1">
      <formula>DE49=2</formula>
    </cfRule>
  </conditionalFormatting>
  <conditionalFormatting sqref="W52:X52">
    <cfRule type="expression" dxfId="210" priority="547" stopIfTrue="1">
      <formula>DG52=2</formula>
    </cfRule>
    <cfRule type="expression" dxfId="209" priority="577" stopIfTrue="1">
      <formula>DE52=2</formula>
    </cfRule>
  </conditionalFormatting>
  <conditionalFormatting sqref="W55:X55">
    <cfRule type="expression" dxfId="208" priority="489" stopIfTrue="1">
      <formula>DG55=2</formula>
    </cfRule>
    <cfRule type="expression" dxfId="207" priority="541" stopIfTrue="1">
      <formula>DG55=2</formula>
    </cfRule>
    <cfRule type="expression" dxfId="206" priority="495" stopIfTrue="1">
      <formula>DE55=2</formula>
    </cfRule>
    <cfRule type="expression" dxfId="205" priority="571" stopIfTrue="1">
      <formula>DE55=2</formula>
    </cfRule>
  </conditionalFormatting>
  <conditionalFormatting sqref="W58:X58">
    <cfRule type="expression" dxfId="204" priority="565" stopIfTrue="1">
      <formula>DE58=2</formula>
    </cfRule>
    <cfRule type="expression" dxfId="203" priority="535" stopIfTrue="1">
      <formula>DG58=2</formula>
    </cfRule>
    <cfRule type="expression" dxfId="202" priority="470" stopIfTrue="1">
      <formula>DG58=2</formula>
    </cfRule>
    <cfRule type="expression" dxfId="201" priority="476" stopIfTrue="1">
      <formula>DE58=2</formula>
    </cfRule>
  </conditionalFormatting>
  <conditionalFormatting sqref="W61:X61">
    <cfRule type="expression" dxfId="200" priority="529" stopIfTrue="1">
      <formula>DG61=2</formula>
    </cfRule>
    <cfRule type="expression" dxfId="199" priority="451" stopIfTrue="1">
      <formula>DG61=2</formula>
    </cfRule>
    <cfRule type="expression" dxfId="198" priority="559" stopIfTrue="1">
      <formula>DE61=2</formula>
    </cfRule>
    <cfRule type="expression" dxfId="197" priority="457" stopIfTrue="1">
      <formula>DE61=2</formula>
    </cfRule>
  </conditionalFormatting>
  <conditionalFormatting sqref="W64:X64">
    <cfRule type="expression" dxfId="196" priority="432" stopIfTrue="1">
      <formula>DG64=2</formula>
    </cfRule>
    <cfRule type="expression" dxfId="195" priority="438" stopIfTrue="1">
      <formula>DE64=2</formula>
    </cfRule>
  </conditionalFormatting>
  <conditionalFormatting sqref="Y13 Y16 Y19 Y22 Y25 Y28 Y31 Y34 Y37 Y40">
    <cfRule type="expression" dxfId="194" priority="57" stopIfTrue="1">
      <formula>DL13=2</formula>
    </cfRule>
  </conditionalFormatting>
  <conditionalFormatting sqref="Y13">
    <cfRule type="expression" dxfId="193" priority="1806" stopIfTrue="1">
      <formula>DJ13=2</formula>
    </cfRule>
  </conditionalFormatting>
  <conditionalFormatting sqref="Y16">
    <cfRule type="expression" dxfId="192" priority="1623" stopIfTrue="1">
      <formula>DJ16=2</formula>
    </cfRule>
  </conditionalFormatting>
  <conditionalFormatting sqref="Y19">
    <cfRule type="expression" dxfId="191" priority="1610" stopIfTrue="1">
      <formula>DJ19=2</formula>
    </cfRule>
  </conditionalFormatting>
  <conditionalFormatting sqref="Y22">
    <cfRule type="expression" dxfId="190" priority="1597" stopIfTrue="1">
      <formula>DJ22=2</formula>
    </cfRule>
  </conditionalFormatting>
  <conditionalFormatting sqref="Y34">
    <cfRule type="expression" dxfId="189" priority="1584" stopIfTrue="1">
      <formula>DJ34=2</formula>
    </cfRule>
  </conditionalFormatting>
  <conditionalFormatting sqref="Y37">
    <cfRule type="expression" dxfId="188" priority="1571" stopIfTrue="1">
      <formula>DJ37=2</formula>
    </cfRule>
  </conditionalFormatting>
  <conditionalFormatting sqref="Y40">
    <cfRule type="expression" dxfId="187" priority="1558" stopIfTrue="1">
      <formula>DJ40=2</formula>
    </cfRule>
  </conditionalFormatting>
  <conditionalFormatting sqref="Y46 Y49 Y52 Y55 Y58 Y61 Y64">
    <cfRule type="expression" dxfId="186" priority="19" stopIfTrue="1">
      <formula>DL46=2</formula>
    </cfRule>
  </conditionalFormatting>
  <conditionalFormatting sqref="Y46">
    <cfRule type="expression" dxfId="185" priority="586" stopIfTrue="1">
      <formula>DJ46=2</formula>
    </cfRule>
  </conditionalFormatting>
  <conditionalFormatting sqref="Y49">
    <cfRule type="expression" dxfId="184" priority="582" stopIfTrue="1">
      <formula>DJ49=2</formula>
    </cfRule>
  </conditionalFormatting>
  <conditionalFormatting sqref="Y52">
    <cfRule type="expression" dxfId="183" priority="576" stopIfTrue="1">
      <formula>DJ52=2</formula>
    </cfRule>
  </conditionalFormatting>
  <conditionalFormatting sqref="Y55">
    <cfRule type="expression" dxfId="182" priority="570" stopIfTrue="1">
      <formula>DJ55=2</formula>
    </cfRule>
    <cfRule type="expression" dxfId="181" priority="502" stopIfTrue="1">
      <formula>DL55=2</formula>
    </cfRule>
    <cfRule type="expression" dxfId="180" priority="494" stopIfTrue="1">
      <formula>DJ55=2</formula>
    </cfRule>
  </conditionalFormatting>
  <conditionalFormatting sqref="Y58">
    <cfRule type="expression" dxfId="179" priority="506" stopIfTrue="1">
      <formula>DL58=2</formula>
    </cfRule>
    <cfRule type="expression" dxfId="178" priority="475" stopIfTrue="1">
      <formula>DJ58=2</formula>
    </cfRule>
    <cfRule type="expression" dxfId="177" priority="564" stopIfTrue="1">
      <formula>DJ58=2</formula>
    </cfRule>
  </conditionalFormatting>
  <conditionalFormatting sqref="Y61">
    <cfRule type="expression" dxfId="176" priority="510" stopIfTrue="1">
      <formula>DL61=2</formula>
    </cfRule>
    <cfRule type="expression" dxfId="175" priority="558" stopIfTrue="1">
      <formula>DJ61=2</formula>
    </cfRule>
    <cfRule type="expression" dxfId="174" priority="456" stopIfTrue="1">
      <formula>DJ61=2</formula>
    </cfRule>
  </conditionalFormatting>
  <conditionalFormatting sqref="Y64">
    <cfRule type="expression" dxfId="173" priority="437" stopIfTrue="1">
      <formula>DJ64=2</formula>
    </cfRule>
  </conditionalFormatting>
  <conditionalFormatting sqref="AA13">
    <cfRule type="expression" dxfId="172" priority="933" stopIfTrue="1">
      <formula>DK13=2</formula>
    </cfRule>
    <cfRule type="expression" dxfId="171" priority="1807" stopIfTrue="1">
      <formula>DI13=2</formula>
    </cfRule>
  </conditionalFormatting>
  <conditionalFormatting sqref="AA16 AA19 AA22 AA25 AA28 AA31 AA34 AA37 AA40">
    <cfRule type="expression" dxfId="170" priority="7" stopIfTrue="1">
      <formula>DK16=2</formula>
    </cfRule>
    <cfRule type="expression" dxfId="169" priority="16" stopIfTrue="1">
      <formula>DI16=2</formula>
    </cfRule>
  </conditionalFormatting>
  <conditionalFormatting sqref="AA16">
    <cfRule type="expression" dxfId="168" priority="914" stopIfTrue="1">
      <formula>DK16=2</formula>
    </cfRule>
    <cfRule type="expression" dxfId="167" priority="1624" stopIfTrue="1">
      <formula>DI16=2</formula>
    </cfRule>
  </conditionalFormatting>
  <conditionalFormatting sqref="AA19">
    <cfRule type="expression" dxfId="166" priority="895" stopIfTrue="1">
      <formula>DK19=2</formula>
    </cfRule>
    <cfRule type="expression" dxfId="165" priority="1611" stopIfTrue="1">
      <formula>DI19=2</formula>
    </cfRule>
  </conditionalFormatting>
  <conditionalFormatting sqref="AA22">
    <cfRule type="expression" dxfId="164" priority="876" stopIfTrue="1">
      <formula>DK22=2</formula>
    </cfRule>
    <cfRule type="expression" dxfId="163" priority="1598" stopIfTrue="1">
      <formula>DI22=2</formula>
    </cfRule>
  </conditionalFormatting>
  <conditionalFormatting sqref="AA34">
    <cfRule type="expression" dxfId="162" priority="978" stopIfTrue="1">
      <formula>DK34=2</formula>
    </cfRule>
    <cfRule type="expression" dxfId="161" priority="1585" stopIfTrue="1">
      <formula>DI34=2</formula>
    </cfRule>
  </conditionalFormatting>
  <conditionalFormatting sqref="AA37">
    <cfRule type="expression" dxfId="160" priority="857" stopIfTrue="1">
      <formula>DK37=2</formula>
    </cfRule>
    <cfRule type="expression" dxfId="159" priority="1572" stopIfTrue="1">
      <formula>DI37=2</formula>
    </cfRule>
  </conditionalFormatting>
  <conditionalFormatting sqref="AA40">
    <cfRule type="expression" dxfId="158" priority="952" stopIfTrue="1">
      <formula>DK40=2</formula>
    </cfRule>
    <cfRule type="expression" dxfId="157" priority="1559" stopIfTrue="1">
      <formula>DI40=2</formula>
    </cfRule>
  </conditionalFormatting>
  <conditionalFormatting sqref="AA46">
    <cfRule type="expression" dxfId="156" priority="587" stopIfTrue="1">
      <formula>DI46=2</formula>
    </cfRule>
  </conditionalFormatting>
  <conditionalFormatting sqref="AA49">
    <cfRule type="expression" dxfId="155" priority="579" stopIfTrue="1">
      <formula>DI49=2</formula>
    </cfRule>
  </conditionalFormatting>
  <conditionalFormatting sqref="AA52">
    <cfRule type="expression" dxfId="154" priority="573" stopIfTrue="1">
      <formula>DI52=2</formula>
    </cfRule>
    <cfRule type="expression" dxfId="153" priority="543" stopIfTrue="1">
      <formula>DK52=2</formula>
    </cfRule>
  </conditionalFormatting>
  <conditionalFormatting sqref="AA55">
    <cfRule type="expression" dxfId="152" priority="567" stopIfTrue="1">
      <formula>DI55=2</formula>
    </cfRule>
    <cfRule type="expression" dxfId="151" priority="491" stopIfTrue="1">
      <formula>DI55=2</formula>
    </cfRule>
    <cfRule type="expression" dxfId="150" priority="537" stopIfTrue="1">
      <formula>DK55=2</formula>
    </cfRule>
    <cfRule type="expression" dxfId="149" priority="485" stopIfTrue="1">
      <formula>DK55=2</formula>
    </cfRule>
  </conditionalFormatting>
  <conditionalFormatting sqref="AA58">
    <cfRule type="expression" dxfId="148" priority="531" stopIfTrue="1">
      <formula>DK58=2</formula>
    </cfRule>
    <cfRule type="expression" dxfId="147" priority="561" stopIfTrue="1">
      <formula>DI58=2</formula>
    </cfRule>
    <cfRule type="expression" dxfId="146" priority="466" stopIfTrue="1">
      <formula>DK58=2</formula>
    </cfRule>
    <cfRule type="expression" dxfId="145" priority="472" stopIfTrue="1">
      <formula>DI58=2</formula>
    </cfRule>
  </conditionalFormatting>
  <conditionalFormatting sqref="AA61">
    <cfRule type="expression" dxfId="144" priority="525" stopIfTrue="1">
      <formula>DK61=2</formula>
    </cfRule>
    <cfRule type="expression" dxfId="143" priority="453" stopIfTrue="1">
      <formula>DI61=2</formula>
    </cfRule>
    <cfRule type="expression" dxfId="142" priority="447" stopIfTrue="1">
      <formula>DK61=2</formula>
    </cfRule>
    <cfRule type="expression" dxfId="141" priority="555" stopIfTrue="1">
      <formula>DI61=2</formula>
    </cfRule>
  </conditionalFormatting>
  <conditionalFormatting sqref="AA64">
    <cfRule type="expression" dxfId="140" priority="434" stopIfTrue="1">
      <formula>DI64=2</formula>
    </cfRule>
    <cfRule type="expression" dxfId="139" priority="428" stopIfTrue="1">
      <formula>DK64=2</formula>
    </cfRule>
  </conditionalFormatting>
  <dataValidations count="4">
    <dataValidation type="list" allowBlank="1" showInputMessage="1" showErrorMessage="1" sqref="D16 D40 D34 D22 D49 D37 D19 D46 D52 D55 D58 D61 D64 D25 D28 D31 D13" xr:uid="{00000000-0002-0000-0900-000000000000}">
      <formula1>Faculty</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AA34 W37 AA19 N58 J34 N22 W22 J19 AA31 N34 W34 J22 AA16 J58 N19 N61 J16 W19 N16 J31 J13 W16 J61 N13 W58 AA13 N40 J37 W13 N55 AA37 J55 N64 J64 W40 N52 J52 N49 AA28 AA40 J40 AA64 W64 W46 AA46 W49 AA49 AA52 W52 AA55 W55 AA61 W61 AA58 J49 N25 J25 N28 J28 N31 AA22 AA25 J46 N46" xr:uid="{00000000-0002-0000-0900-000001000000}"/>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L13 L28 L16 L19 L31 L34 L37 L40 Y64 L22 L25 L49 L52 L55 L58 L61 L64 Y13 Y16 Y19 Y22 Y25 Y28 Y31 Y34 Y37 Y40 Y46 Y49 Y52 Y55 Y58 Y61" xr:uid="{00000000-0002-0000-0900-000002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13 H28 H16 H19 H31 H34 H37 H40 U64 H22 H25 H49 H52 H55 H58 H61 H64 U13 U16 U19 U22 U25 U28 U31 U34 U37 U40 U46 U49 U52 U55 U58 U61 H46 L46" xr:uid="{00000000-0002-0000-0900-000003000000}">
      <formula1>9</formula1>
    </dataValidation>
  </dataValidations>
  <printOptions horizontalCentered="1"/>
  <pageMargins left="0.5" right="0.5" top="0.5" bottom="0.5" header="0.5" footer="0.23"/>
  <pageSetup scale="92" fitToHeight="2" orientation="portrait" r:id="rId1"/>
  <headerFooter alignWithMargins="0">
    <oddFooter>&amp;L&amp;"Calibri,Regular"&amp;9&amp;F/&amp;A&amp;C&amp;"Calibri,Regular"&amp;9Page &amp;P of &amp;N&amp;R&amp;"Calibri,Regular"&amp;9&amp;D</oddFooter>
  </headerFooter>
  <rowBreaks count="1" manualBreakCount="1">
    <brk id="176" max="43" man="1"/>
  </rowBreaks>
  <colBreaks count="1" manualBreakCount="1">
    <brk id="44" max="1048575" man="1"/>
  </colBreaks>
  <ignoredErrors>
    <ignoredError sqref="B79:B94 B161:B222 B154:B15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87"/>
  <sheetViews>
    <sheetView topLeftCell="A22" workbookViewId="0">
      <selection activeCell="D4" sqref="D4:Y4"/>
    </sheetView>
  </sheetViews>
  <sheetFormatPr defaultColWidth="8" defaultRowHeight="13.8" x14ac:dyDescent="0.3"/>
  <cols>
    <col min="1" max="1" width="5.109375" style="237" customWidth="1"/>
    <col min="2" max="2" width="8" style="237" customWidth="1"/>
    <col min="3" max="3" width="5.109375" style="237" customWidth="1"/>
    <col min="4" max="4" width="27.109375" style="237" customWidth="1"/>
    <col min="5" max="5" width="9.21875" style="244" customWidth="1"/>
    <col min="6" max="6" width="0.88671875" style="244" customWidth="1"/>
    <col min="7" max="7" width="7.109375" style="244" customWidth="1"/>
    <col min="8" max="8" width="0.88671875" style="244" customWidth="1"/>
    <col min="9" max="9" width="7.109375" style="244" customWidth="1"/>
    <col min="10" max="10" width="0.88671875" style="244" customWidth="1"/>
    <col min="11" max="11" width="8.21875" style="244" customWidth="1"/>
    <col min="12" max="12" width="4.88671875" style="237" customWidth="1"/>
    <col min="13" max="13" width="8" style="237" customWidth="1"/>
    <col min="14" max="14" width="3.109375" style="237" customWidth="1"/>
    <col min="15" max="16384" width="8" style="237"/>
  </cols>
  <sheetData>
    <row r="1" spans="2:19" ht="33" customHeight="1" x14ac:dyDescent="0.4">
      <c r="C1" s="710" t="s">
        <v>659</v>
      </c>
      <c r="D1" s="710"/>
      <c r="E1" s="710"/>
      <c r="F1" s="710"/>
      <c r="G1" s="710"/>
      <c r="H1" s="710"/>
      <c r="I1" s="710"/>
      <c r="J1" s="710"/>
      <c r="K1" s="710"/>
      <c r="L1" s="710"/>
    </row>
    <row r="2" spans="2:19" ht="24" customHeight="1" x14ac:dyDescent="0.4">
      <c r="C2" s="713" t="s">
        <v>660</v>
      </c>
      <c r="D2" s="713"/>
      <c r="E2" s="713"/>
      <c r="F2" s="713"/>
      <c r="G2" s="713"/>
      <c r="H2" s="713"/>
      <c r="I2" s="713"/>
      <c r="J2" s="713"/>
      <c r="K2" s="713"/>
      <c r="L2" s="713"/>
    </row>
    <row r="3" spans="2:19" ht="25.5" customHeight="1" x14ac:dyDescent="0.3">
      <c r="C3" s="711" t="s">
        <v>661</v>
      </c>
      <c r="D3" s="711"/>
      <c r="E3" s="711"/>
      <c r="F3" s="711"/>
      <c r="G3" s="711"/>
      <c r="H3" s="711"/>
      <c r="I3" s="711"/>
      <c r="J3" s="711"/>
      <c r="K3" s="711"/>
    </row>
    <row r="4" spans="2:19" ht="9.75" customHeight="1" x14ac:dyDescent="0.3">
      <c r="C4" s="599"/>
      <c r="D4" s="599"/>
      <c r="E4" s="599"/>
      <c r="F4" s="599"/>
      <c r="G4" s="599"/>
      <c r="H4" s="599"/>
      <c r="I4" s="599"/>
      <c r="J4" s="599"/>
      <c r="K4" s="599"/>
    </row>
    <row r="5" spans="2:19" ht="47.25" customHeight="1" x14ac:dyDescent="0.3">
      <c r="B5" s="712">
        <f>'YEAR 4'!D4</f>
        <v>0</v>
      </c>
      <c r="C5" s="712"/>
      <c r="D5" s="712"/>
      <c r="E5" s="712"/>
      <c r="F5" s="712"/>
      <c r="G5" s="712"/>
      <c r="H5" s="712"/>
      <c r="I5" s="712"/>
      <c r="J5" s="712"/>
      <c r="K5" s="712"/>
      <c r="L5" s="238"/>
      <c r="M5" s="238"/>
      <c r="N5" s="239" t="s">
        <v>179</v>
      </c>
      <c r="O5" s="238"/>
      <c r="P5" s="238"/>
      <c r="Q5" s="238"/>
      <c r="R5" s="238"/>
      <c r="S5" s="238"/>
    </row>
    <row r="6" spans="2:19" ht="15.6" x14ac:dyDescent="0.3">
      <c r="B6" s="714" t="str">
        <f>'YEAR 4'!D5</f>
        <v>Year Four:  December 31, 1902 - December 30, 1903</v>
      </c>
      <c r="C6" s="714"/>
      <c r="D6" s="714"/>
      <c r="E6" s="714"/>
      <c r="F6" s="714"/>
      <c r="G6" s="714"/>
      <c r="H6" s="714"/>
      <c r="I6" s="714"/>
      <c r="J6" s="714"/>
      <c r="K6" s="714"/>
    </row>
    <row r="7" spans="2:19" ht="18" x14ac:dyDescent="0.35">
      <c r="B7" s="708"/>
      <c r="C7" s="708"/>
      <c r="D7" s="708"/>
      <c r="E7" s="708"/>
      <c r="F7" s="708"/>
      <c r="G7" s="708"/>
      <c r="H7" s="708"/>
      <c r="I7" s="708"/>
      <c r="J7" s="708"/>
      <c r="K7" s="708"/>
    </row>
    <row r="8" spans="2:19" ht="2.25" customHeight="1" x14ac:dyDescent="0.3">
      <c r="B8" s="709"/>
      <c r="C8" s="709"/>
      <c r="D8" s="709"/>
      <c r="E8" s="709"/>
      <c r="F8" s="709"/>
      <c r="G8" s="709"/>
      <c r="H8" s="709"/>
      <c r="I8" s="709"/>
      <c r="J8" s="709"/>
      <c r="K8" s="709"/>
    </row>
    <row r="9" spans="2:19" s="240" customFormat="1" ht="15.6" x14ac:dyDescent="0.2">
      <c r="B9" s="598"/>
      <c r="C9" s="598"/>
      <c r="D9" s="598"/>
      <c r="E9" s="707"/>
      <c r="F9" s="707"/>
      <c r="G9" s="707"/>
      <c r="H9" s="707"/>
      <c r="I9" s="707"/>
      <c r="J9" s="707"/>
      <c r="K9" s="707"/>
    </row>
    <row r="10" spans="2:19" ht="41.4" x14ac:dyDescent="0.3">
      <c r="B10" s="241" t="s">
        <v>662</v>
      </c>
      <c r="C10" s="241"/>
      <c r="D10" s="241"/>
      <c r="E10" s="242" t="s">
        <v>663</v>
      </c>
      <c r="F10" s="242"/>
      <c r="G10" s="242" t="s">
        <v>664</v>
      </c>
      <c r="H10" s="242"/>
      <c r="I10" s="242" t="s">
        <v>665</v>
      </c>
      <c r="J10" s="242"/>
      <c r="K10" s="243" t="s">
        <v>666</v>
      </c>
    </row>
    <row r="11" spans="2:19" ht="15" customHeight="1" thickBot="1" x14ac:dyDescent="0.35">
      <c r="B11" s="244"/>
      <c r="C11" s="244"/>
      <c r="D11" s="244"/>
      <c r="K11" s="245"/>
    </row>
    <row r="12" spans="2:19" ht="15" customHeight="1" thickBot="1" x14ac:dyDescent="0.35">
      <c r="B12" s="246" t="s">
        <v>180</v>
      </c>
      <c r="C12" s="247" t="s">
        <v>667</v>
      </c>
      <c r="D12" s="247"/>
      <c r="E12" s="255">
        <f>'YEAR 4'!AW67</f>
        <v>0</v>
      </c>
      <c r="F12" s="256"/>
      <c r="G12" s="255">
        <f>'YEAR 4'!AY67</f>
        <v>0</v>
      </c>
      <c r="H12" s="256"/>
      <c r="I12" s="264">
        <v>0</v>
      </c>
      <c r="J12" s="256"/>
      <c r="K12" s="257">
        <f>ROUND(E12+G12+I12,0)</f>
        <v>0</v>
      </c>
      <c r="L12" s="248"/>
      <c r="M12" s="237">
        <f>ROUND('YEAR 4'!BA67,0)</f>
        <v>0</v>
      </c>
    </row>
    <row r="13" spans="2:19" ht="4.5" customHeight="1" thickBot="1" x14ac:dyDescent="0.35">
      <c r="B13" s="244"/>
      <c r="C13" s="244"/>
      <c r="D13" s="244"/>
      <c r="E13" s="256"/>
      <c r="F13" s="256"/>
      <c r="G13" s="256"/>
      <c r="H13" s="256"/>
      <c r="I13" s="256"/>
      <c r="J13" s="256"/>
      <c r="K13" s="258"/>
    </row>
    <row r="14" spans="2:19" ht="15" customHeight="1" thickBot="1" x14ac:dyDescent="0.35">
      <c r="B14" s="246" t="s">
        <v>182</v>
      </c>
      <c r="C14" s="249" t="s">
        <v>668</v>
      </c>
      <c r="D14" s="249"/>
      <c r="E14" s="255">
        <f>'YEAR 4'!BC67</f>
        <v>0</v>
      </c>
      <c r="F14" s="256"/>
      <c r="G14" s="255">
        <f>'YEAR 4'!BE67</f>
        <v>0</v>
      </c>
      <c r="H14" s="256"/>
      <c r="I14" s="264">
        <v>0</v>
      </c>
      <c r="J14" s="256"/>
      <c r="K14" s="257">
        <f>ROUND(E14+G14+I14,0)</f>
        <v>0</v>
      </c>
      <c r="M14" s="237">
        <f>ROUND('YEAR 4'!BG67,0)</f>
        <v>0</v>
      </c>
    </row>
    <row r="15" spans="2:19" ht="4.5" customHeight="1" thickBot="1" x14ac:dyDescent="0.35">
      <c r="B15" s="244"/>
      <c r="C15" s="244"/>
      <c r="D15" s="244"/>
      <c r="E15" s="256"/>
      <c r="F15" s="256"/>
      <c r="G15" s="256"/>
      <c r="H15" s="256"/>
      <c r="I15" s="256"/>
      <c r="J15" s="256"/>
      <c r="K15" s="258"/>
    </row>
    <row r="16" spans="2:19" ht="15" customHeight="1" thickBot="1" x14ac:dyDescent="0.35">
      <c r="B16" s="246" t="s">
        <v>184</v>
      </c>
      <c r="C16" s="247" t="s">
        <v>669</v>
      </c>
      <c r="D16" s="247"/>
      <c r="E16" s="255">
        <f>'YEAR 4'!P103</f>
        <v>0</v>
      </c>
      <c r="F16" s="256"/>
      <c r="G16" s="255">
        <f>'YEAR 4'!AC103</f>
        <v>0</v>
      </c>
      <c r="H16" s="256"/>
      <c r="I16" s="264">
        <v>0</v>
      </c>
      <c r="J16" s="256"/>
      <c r="K16" s="257">
        <f>ROUND(E16+G16+I16,0)</f>
        <v>0</v>
      </c>
      <c r="M16" s="237">
        <f>ROUND('YEAR 4'!AP103,0)</f>
        <v>0</v>
      </c>
    </row>
    <row r="17" spans="2:14" ht="4.5" customHeight="1" thickBot="1" x14ac:dyDescent="0.35">
      <c r="B17" s="244"/>
      <c r="C17" s="244"/>
      <c r="D17" s="244"/>
      <c r="E17" s="256"/>
      <c r="F17" s="256"/>
      <c r="G17" s="256"/>
      <c r="H17" s="256"/>
      <c r="I17" s="256"/>
      <c r="J17" s="256"/>
      <c r="K17" s="258"/>
    </row>
    <row r="18" spans="2:14" ht="15" customHeight="1" thickBot="1" x14ac:dyDescent="0.35">
      <c r="B18" s="246" t="s">
        <v>670</v>
      </c>
      <c r="C18" s="247" t="s">
        <v>671</v>
      </c>
      <c r="D18" s="247"/>
      <c r="E18" s="255">
        <f>'YEAR 4'!P76</f>
        <v>0</v>
      </c>
      <c r="F18" s="256"/>
      <c r="G18" s="255">
        <f>'YEAR 4'!AC76</f>
        <v>0</v>
      </c>
      <c r="H18" s="256"/>
      <c r="I18" s="264">
        <v>0</v>
      </c>
      <c r="J18" s="256"/>
      <c r="K18" s="257">
        <f>ROUND(E18+G18+I18,0)</f>
        <v>0</v>
      </c>
      <c r="M18" s="237">
        <f>ROUND('YEAR 4'!AP76,0)</f>
        <v>0</v>
      </c>
    </row>
    <row r="19" spans="2:14" ht="4.5" customHeight="1" thickBot="1" x14ac:dyDescent="0.35">
      <c r="B19" s="244"/>
      <c r="C19" s="244"/>
      <c r="D19" s="244"/>
      <c r="E19" s="256"/>
      <c r="F19" s="256"/>
      <c r="G19" s="256"/>
      <c r="H19" s="256"/>
      <c r="I19" s="256"/>
      <c r="J19" s="256"/>
      <c r="K19" s="258"/>
    </row>
    <row r="20" spans="2:14" ht="15" customHeight="1" thickBot="1" x14ac:dyDescent="0.35">
      <c r="B20" s="246" t="s">
        <v>672</v>
      </c>
      <c r="C20" s="247" t="s">
        <v>673</v>
      </c>
      <c r="D20" s="247"/>
      <c r="E20" s="255">
        <f>'YEAR 4'!P166</f>
        <v>0</v>
      </c>
      <c r="F20" s="256"/>
      <c r="G20" s="255">
        <f>'YEAR 4'!AC166</f>
        <v>0</v>
      </c>
      <c r="H20" s="256"/>
      <c r="I20" s="264">
        <v>0</v>
      </c>
      <c r="J20" s="256"/>
      <c r="K20" s="257">
        <f>ROUND(E20+G20+I20,0)</f>
        <v>0</v>
      </c>
    </row>
    <row r="21" spans="2:14" ht="4.5" customHeight="1" thickBot="1" x14ac:dyDescent="0.35">
      <c r="B21" s="244"/>
      <c r="C21" s="244"/>
      <c r="D21" s="244"/>
      <c r="E21" s="256"/>
      <c r="F21" s="256"/>
      <c r="G21" s="256"/>
      <c r="H21" s="256"/>
      <c r="I21" s="256"/>
      <c r="J21" s="256"/>
      <c r="K21" s="258"/>
    </row>
    <row r="22" spans="2:14" ht="15" customHeight="1" thickBot="1" x14ac:dyDescent="0.35">
      <c r="B22" s="246" t="s">
        <v>674</v>
      </c>
      <c r="C22" s="247" t="s">
        <v>675</v>
      </c>
      <c r="D22" s="247"/>
      <c r="E22" s="255">
        <f>'YEAR 4'!P184+'YEAR 4'!P202</f>
        <v>0</v>
      </c>
      <c r="F22" s="256"/>
      <c r="G22" s="255">
        <f>'YEAR 4'!AC184+'YEAR 4'!AC202</f>
        <v>0</v>
      </c>
      <c r="H22" s="256"/>
      <c r="I22" s="264">
        <v>0</v>
      </c>
      <c r="J22" s="256"/>
      <c r="K22" s="257">
        <f>ROUND(E22+G22+I22,0)</f>
        <v>0</v>
      </c>
    </row>
    <row r="23" spans="2:14" ht="4.5" customHeight="1" thickBot="1" x14ac:dyDescent="0.35">
      <c r="E23" s="256"/>
      <c r="F23" s="256"/>
      <c r="G23" s="256"/>
      <c r="H23" s="256"/>
      <c r="I23" s="256"/>
      <c r="J23" s="256"/>
      <c r="K23" s="258"/>
    </row>
    <row r="24" spans="2:14" ht="14.4" thickBot="1" x14ac:dyDescent="0.35">
      <c r="B24" s="246" t="s">
        <v>676</v>
      </c>
      <c r="C24" s="247" t="s">
        <v>677</v>
      </c>
      <c r="D24" s="247"/>
      <c r="E24" s="255">
        <f>'YEAR 4'!P220</f>
        <v>0</v>
      </c>
      <c r="F24" s="256"/>
      <c r="G24" s="255">
        <f>'YEAR 4'!AC220</f>
        <v>0</v>
      </c>
      <c r="H24" s="256"/>
      <c r="I24" s="264">
        <v>0</v>
      </c>
      <c r="J24" s="256"/>
      <c r="K24" s="257">
        <f>ROUND(E24+G24+I24,0)</f>
        <v>0</v>
      </c>
    </row>
    <row r="25" spans="2:14" ht="4.5" customHeight="1" thickBot="1" x14ac:dyDescent="0.35">
      <c r="B25" s="244"/>
      <c r="E25" s="256"/>
      <c r="F25" s="256"/>
      <c r="G25" s="256"/>
      <c r="H25" s="256"/>
      <c r="I25" s="256"/>
      <c r="J25" s="256"/>
      <c r="K25" s="258"/>
    </row>
    <row r="26" spans="2:14" ht="14.4" thickBot="1" x14ac:dyDescent="0.35">
      <c r="B26" s="246" t="s">
        <v>678</v>
      </c>
      <c r="C26" s="247" t="s">
        <v>679</v>
      </c>
      <c r="D26" s="247"/>
      <c r="E26" s="265">
        <f>'YEAR 4'!P151+'YEAR 4'!P175+'YEAR 4'!P193+'YEAR 4'!P211+'YEAR 4'!P231</f>
        <v>0</v>
      </c>
      <c r="F26" s="256"/>
      <c r="G26" s="255">
        <f>'YEAR 4'!AC151+'YEAR 4'!AC175+'YEAR 4'!AC193+'YEAR 4'!AC231</f>
        <v>0</v>
      </c>
      <c r="H26" s="256"/>
      <c r="I26" s="264">
        <v>0</v>
      </c>
      <c r="J26" s="256"/>
      <c r="K26" s="257">
        <f>ROUND(E26+G26+I26,0)</f>
        <v>0</v>
      </c>
    </row>
    <row r="27" spans="2:14" ht="4.5" customHeight="1" thickBot="1" x14ac:dyDescent="0.35">
      <c r="B27" s="244"/>
      <c r="E27" s="256"/>
      <c r="F27" s="256"/>
      <c r="G27" s="256"/>
      <c r="H27" s="256"/>
      <c r="I27" s="256"/>
      <c r="J27" s="256"/>
      <c r="K27" s="258"/>
    </row>
    <row r="28" spans="2:14" ht="14.4" thickBot="1" x14ac:dyDescent="0.35">
      <c r="B28" s="246" t="s">
        <v>680</v>
      </c>
      <c r="C28" s="247" t="s">
        <v>681</v>
      </c>
      <c r="D28" s="247"/>
      <c r="E28" s="255">
        <f>ROUND(SUM(E11:E27),0)</f>
        <v>0</v>
      </c>
      <c r="F28" s="256"/>
      <c r="G28" s="255">
        <f>ROUND(SUM(G11:G27),0)</f>
        <v>0</v>
      </c>
      <c r="H28" s="256"/>
      <c r="I28" s="255">
        <f>ROUND(SUM(I11:I27),0)</f>
        <v>0</v>
      </c>
      <c r="J28" s="256"/>
      <c r="K28" s="257">
        <f>ROUND(E28+G28+I28,0)</f>
        <v>0</v>
      </c>
      <c r="M28" s="250">
        <f>ROUND(SUM(K12:K26),0)</f>
        <v>0</v>
      </c>
      <c r="N28" s="237">
        <f>IF(M28&lt;&gt;K28,1,0)</f>
        <v>0</v>
      </c>
    </row>
    <row r="29" spans="2:14" ht="4.5" customHeight="1" thickBot="1" x14ac:dyDescent="0.35">
      <c r="B29" s="244"/>
      <c r="E29" s="256"/>
      <c r="F29" s="256"/>
      <c r="G29" s="256"/>
      <c r="H29" s="256"/>
      <c r="I29" s="256"/>
      <c r="J29" s="256"/>
      <c r="K29" s="258"/>
    </row>
    <row r="30" spans="2:14" ht="14.4" thickBot="1" x14ac:dyDescent="0.35">
      <c r="B30" s="246" t="s">
        <v>682</v>
      </c>
      <c r="C30" s="247" t="s">
        <v>683</v>
      </c>
      <c r="D30" s="247"/>
      <c r="E30" s="255">
        <f>E42</f>
        <v>0</v>
      </c>
      <c r="F30" s="256"/>
      <c r="G30" s="255">
        <f>G40</f>
        <v>0</v>
      </c>
      <c r="H30" s="256"/>
      <c r="I30" s="255">
        <f>ROUND(I42,0)</f>
        <v>0</v>
      </c>
      <c r="J30" s="256"/>
      <c r="K30" s="257">
        <f>ROUND(E30+G30+I30,0)</f>
        <v>0</v>
      </c>
    </row>
    <row r="31" spans="2:14" ht="5.25" customHeight="1" x14ac:dyDescent="0.3">
      <c r="B31" s="246"/>
      <c r="C31" s="247"/>
      <c r="D31" s="247"/>
      <c r="E31" s="256"/>
      <c r="F31" s="256"/>
      <c r="G31" s="256"/>
      <c r="H31" s="256"/>
      <c r="I31" s="256"/>
      <c r="J31" s="256"/>
      <c r="K31" s="258"/>
    </row>
    <row r="32" spans="2:14" x14ac:dyDescent="0.3">
      <c r="B32" s="244"/>
      <c r="C32" s="251" t="s">
        <v>684</v>
      </c>
      <c r="E32" s="259"/>
      <c r="F32" s="259"/>
      <c r="G32" s="259"/>
      <c r="H32" s="259"/>
      <c r="I32" s="259"/>
      <c r="J32" s="259"/>
      <c r="K32" s="258"/>
    </row>
    <row r="33" spans="2:11" x14ac:dyDescent="0.3">
      <c r="B33" s="244"/>
      <c r="D33" s="237" t="s">
        <v>685</v>
      </c>
      <c r="E33" s="260">
        <f>'YEAR 4'!P240</f>
        <v>0</v>
      </c>
      <c r="F33" s="259"/>
      <c r="G33" s="260">
        <f>'YEAR 4'!AC240</f>
        <v>0</v>
      </c>
      <c r="H33" s="259"/>
      <c r="I33" s="256">
        <v>0</v>
      </c>
      <c r="J33" s="259"/>
      <c r="K33" s="258"/>
    </row>
    <row r="34" spans="2:11" x14ac:dyDescent="0.3">
      <c r="B34" s="244"/>
      <c r="D34" s="237" t="s">
        <v>686</v>
      </c>
      <c r="E34" s="261">
        <f>'YEAR 4'!P241</f>
        <v>0</v>
      </c>
      <c r="F34" s="259"/>
      <c r="G34" s="261">
        <f>'YEAR 4'!AC241</f>
        <v>0</v>
      </c>
      <c r="H34" s="259"/>
      <c r="I34" s="262">
        <v>0</v>
      </c>
      <c r="J34" s="259"/>
      <c r="K34" s="258"/>
    </row>
    <row r="35" spans="2:11" ht="4.5" customHeight="1" x14ac:dyDescent="0.3">
      <c r="B35" s="244"/>
      <c r="E35" s="259"/>
      <c r="F35" s="259"/>
      <c r="G35" s="259"/>
      <c r="H35" s="259"/>
      <c r="I35" s="256"/>
      <c r="J35" s="259"/>
      <c r="K35" s="258"/>
    </row>
    <row r="36" spans="2:11" x14ac:dyDescent="0.3">
      <c r="B36" s="244"/>
      <c r="C36" s="237" t="s">
        <v>687</v>
      </c>
      <c r="E36" s="260">
        <f>'YEAR 4'!P243</f>
        <v>0</v>
      </c>
      <c r="F36" s="259"/>
      <c r="G36" s="260">
        <f>'YEAR 4'!AC243</f>
        <v>0</v>
      </c>
      <c r="H36" s="259"/>
      <c r="I36" s="256">
        <v>0</v>
      </c>
      <c r="J36" s="259"/>
      <c r="K36" s="258"/>
    </row>
    <row r="37" spans="2:11" ht="4.5" customHeight="1" x14ac:dyDescent="0.3">
      <c r="B37" s="244"/>
      <c r="E37" s="259"/>
      <c r="F37" s="259"/>
      <c r="G37" s="259"/>
      <c r="H37" s="259"/>
      <c r="I37" s="256"/>
      <c r="J37" s="259"/>
      <c r="K37" s="258"/>
    </row>
    <row r="38" spans="2:11" x14ac:dyDescent="0.3">
      <c r="B38" s="244"/>
      <c r="D38" s="237" t="str">
        <f>'YEAR 4'!C245</f>
        <v>SDSM&amp;T  Indirect  @ 42.0%</v>
      </c>
      <c r="E38" s="260">
        <f>'YEAR 4'!P245</f>
        <v>0</v>
      </c>
      <c r="F38" s="263"/>
      <c r="G38" s="260">
        <f>'YEAR 4'!AC245</f>
        <v>0</v>
      </c>
      <c r="H38" s="263"/>
      <c r="I38" s="256">
        <v>0</v>
      </c>
      <c r="J38" s="263"/>
      <c r="K38" s="258"/>
    </row>
    <row r="39" spans="2:11" ht="3.75" customHeight="1" x14ac:dyDescent="0.3">
      <c r="B39" s="244"/>
      <c r="E39" s="259"/>
      <c r="F39" s="259"/>
      <c r="G39" s="259"/>
      <c r="H39" s="259"/>
      <c r="I39" s="256"/>
      <c r="J39" s="259"/>
      <c r="K39" s="258"/>
    </row>
    <row r="40" spans="2:11" x14ac:dyDescent="0.3">
      <c r="B40" s="244"/>
      <c r="D40" s="237" t="str">
        <f>'YEAR 4'!D247</f>
        <v>SDSM&amp;T Unrecovered Indirect @ 0.0%</v>
      </c>
      <c r="E40" s="261">
        <f>'YEAR 4'!P247</f>
        <v>0</v>
      </c>
      <c r="F40" s="263"/>
      <c r="G40" s="261">
        <f>'YEAR 4'!AC247</f>
        <v>0</v>
      </c>
      <c r="H40" s="263"/>
      <c r="I40" s="262">
        <v>0</v>
      </c>
      <c r="J40" s="263"/>
      <c r="K40" s="258"/>
    </row>
    <row r="41" spans="2:11" ht="3.75" customHeight="1" x14ac:dyDescent="0.3">
      <c r="B41" s="244"/>
      <c r="E41" s="259"/>
      <c r="F41" s="259"/>
      <c r="G41" s="259"/>
      <c r="H41" s="259"/>
      <c r="I41" s="256"/>
      <c r="J41" s="259"/>
      <c r="K41" s="258"/>
    </row>
    <row r="42" spans="2:11" x14ac:dyDescent="0.3">
      <c r="B42" s="244"/>
      <c r="D42" s="237" t="str">
        <f>'YEAR 4'!C249</f>
        <v>SDSM&amp;T Indirect Recovered @ 42.0%</v>
      </c>
      <c r="E42" s="260">
        <f>'YEAR 4'!P249</f>
        <v>0</v>
      </c>
      <c r="F42" s="263"/>
      <c r="G42" s="260">
        <f>'YEAR 4'!AC251</f>
        <v>0</v>
      </c>
      <c r="H42" s="263"/>
      <c r="I42" s="256">
        <v>0</v>
      </c>
      <c r="J42" s="263"/>
      <c r="K42" s="258"/>
    </row>
    <row r="43" spans="2:11" ht="4.5" customHeight="1" thickBot="1" x14ac:dyDescent="0.35">
      <c r="B43" s="244"/>
      <c r="E43" s="259"/>
      <c r="F43" s="259"/>
      <c r="G43" s="259"/>
      <c r="H43" s="259"/>
      <c r="I43" s="259"/>
      <c r="J43" s="259"/>
      <c r="K43" s="258"/>
    </row>
    <row r="44" spans="2:11" ht="14.4" thickBot="1" x14ac:dyDescent="0.35">
      <c r="B44" s="246" t="s">
        <v>688</v>
      </c>
      <c r="C44" s="247" t="s">
        <v>689</v>
      </c>
      <c r="D44" s="247"/>
      <c r="E44" s="257">
        <f>ROUND(E42+E28,0)</f>
        <v>0</v>
      </c>
      <c r="F44" s="258"/>
      <c r="G44" s="257">
        <f>ROUND(G42+G28,0)</f>
        <v>0</v>
      </c>
      <c r="H44" s="258"/>
      <c r="I44" s="257">
        <f>ROUND(I42+I28,0)</f>
        <v>0</v>
      </c>
      <c r="J44" s="258"/>
      <c r="K44" s="257">
        <f>ROUND(E44+G44+I44,0)</f>
        <v>0</v>
      </c>
    </row>
    <row r="46" spans="2:11" x14ac:dyDescent="0.3">
      <c r="B46" s="252" t="s">
        <v>690</v>
      </c>
      <c r="C46" s="237" t="s">
        <v>691</v>
      </c>
    </row>
    <row r="55" spans="1:15" s="253" customFormat="1" x14ac:dyDescent="0.3">
      <c r="A55" s="253" t="s">
        <v>692</v>
      </c>
      <c r="E55" s="254"/>
      <c r="F55" s="254"/>
      <c r="G55" s="254"/>
      <c r="H55" s="254"/>
      <c r="I55" s="254"/>
      <c r="J55" s="254"/>
      <c r="K55" s="254"/>
      <c r="L55" s="253" t="s">
        <v>839</v>
      </c>
    </row>
    <row r="57" spans="1:15" x14ac:dyDescent="0.3">
      <c r="A57" s="252" t="s">
        <v>694</v>
      </c>
      <c r="B57" s="237" t="s">
        <v>695</v>
      </c>
      <c r="L57" s="237" t="s">
        <v>694</v>
      </c>
      <c r="M57" s="237" t="s">
        <v>695</v>
      </c>
      <c r="O57" s="237" t="s">
        <v>696</v>
      </c>
    </row>
    <row r="58" spans="1:15" x14ac:dyDescent="0.3">
      <c r="A58" s="252" t="s">
        <v>697</v>
      </c>
      <c r="B58" s="237" t="s">
        <v>698</v>
      </c>
      <c r="L58" s="237" t="s">
        <v>697</v>
      </c>
      <c r="M58" s="237" t="s">
        <v>698</v>
      </c>
      <c r="O58" s="237" t="s">
        <v>696</v>
      </c>
    </row>
    <row r="59" spans="1:15" x14ac:dyDescent="0.3">
      <c r="A59" s="252"/>
      <c r="B59" s="237">
        <v>1</v>
      </c>
      <c r="C59" s="237" t="s">
        <v>699</v>
      </c>
      <c r="L59" s="237" t="s">
        <v>700</v>
      </c>
      <c r="M59" s="237" t="s">
        <v>671</v>
      </c>
    </row>
    <row r="60" spans="1:15" x14ac:dyDescent="0.3">
      <c r="A60" s="252"/>
      <c r="B60" s="237">
        <v>2</v>
      </c>
      <c r="C60" s="237" t="s">
        <v>701</v>
      </c>
      <c r="L60" s="237" t="s">
        <v>702</v>
      </c>
      <c r="M60" s="237" t="s">
        <v>703</v>
      </c>
    </row>
    <row r="61" spans="1:15" x14ac:dyDescent="0.3">
      <c r="A61" s="252"/>
      <c r="B61" s="237">
        <v>3</v>
      </c>
      <c r="C61" s="237" t="s">
        <v>704</v>
      </c>
      <c r="L61" s="237">
        <v>1</v>
      </c>
      <c r="M61" s="237" t="s">
        <v>705</v>
      </c>
    </row>
    <row r="62" spans="1:15" x14ac:dyDescent="0.3">
      <c r="A62" s="252"/>
      <c r="B62" s="237">
        <v>4</v>
      </c>
      <c r="C62" s="237" t="s">
        <v>706</v>
      </c>
      <c r="L62" s="237">
        <v>2</v>
      </c>
      <c r="M62" s="237" t="s">
        <v>707</v>
      </c>
    </row>
    <row r="63" spans="1:15" x14ac:dyDescent="0.3">
      <c r="A63" s="252"/>
      <c r="B63" s="237">
        <v>5</v>
      </c>
      <c r="C63" s="237" t="s">
        <v>708</v>
      </c>
      <c r="L63" s="237" t="s">
        <v>709</v>
      </c>
      <c r="M63" s="237" t="s">
        <v>710</v>
      </c>
    </row>
    <row r="64" spans="1:15" x14ac:dyDescent="0.3">
      <c r="A64" s="252"/>
      <c r="B64" s="237">
        <v>6</v>
      </c>
      <c r="C64" s="237" t="s">
        <v>679</v>
      </c>
      <c r="L64" s="237">
        <v>1</v>
      </c>
      <c r="M64" s="237" t="s">
        <v>711</v>
      </c>
    </row>
    <row r="65" spans="1:13" x14ac:dyDescent="0.3">
      <c r="A65" s="252" t="s">
        <v>700</v>
      </c>
      <c r="B65" s="237" t="s">
        <v>712</v>
      </c>
      <c r="L65" s="237">
        <v>2</v>
      </c>
      <c r="M65" s="237" t="s">
        <v>713</v>
      </c>
    </row>
    <row r="66" spans="1:13" x14ac:dyDescent="0.3">
      <c r="A66" s="252" t="s">
        <v>702</v>
      </c>
      <c r="B66" s="237" t="s">
        <v>671</v>
      </c>
      <c r="L66" s="237">
        <v>3</v>
      </c>
      <c r="M66" s="237" t="s">
        <v>703</v>
      </c>
    </row>
    <row r="67" spans="1:13" x14ac:dyDescent="0.3">
      <c r="A67" s="252" t="s">
        <v>709</v>
      </c>
      <c r="B67" s="237" t="s">
        <v>703</v>
      </c>
      <c r="L67" s="237">
        <v>4</v>
      </c>
      <c r="M67" s="237" t="s">
        <v>714</v>
      </c>
    </row>
    <row r="68" spans="1:13" x14ac:dyDescent="0.3">
      <c r="A68" s="252"/>
      <c r="B68" s="237">
        <v>1</v>
      </c>
      <c r="C68" s="237" t="s">
        <v>715</v>
      </c>
      <c r="L68" s="237">
        <v>5</v>
      </c>
      <c r="M68" s="237" t="s">
        <v>679</v>
      </c>
    </row>
    <row r="69" spans="1:13" x14ac:dyDescent="0.3">
      <c r="A69" s="252"/>
      <c r="B69" s="237">
        <v>2</v>
      </c>
      <c r="C69" s="237" t="s">
        <v>716</v>
      </c>
      <c r="L69" s="237" t="s">
        <v>717</v>
      </c>
      <c r="M69" s="237" t="s">
        <v>718</v>
      </c>
    </row>
    <row r="70" spans="1:13" x14ac:dyDescent="0.3">
      <c r="A70" s="252" t="s">
        <v>717</v>
      </c>
      <c r="B70" s="237" t="s">
        <v>719</v>
      </c>
      <c r="L70" s="237">
        <v>1</v>
      </c>
      <c r="M70" s="237" t="s">
        <v>720</v>
      </c>
    </row>
    <row r="71" spans="1:13" x14ac:dyDescent="0.3">
      <c r="A71" s="252"/>
      <c r="B71" s="237">
        <v>1</v>
      </c>
      <c r="C71" s="237" t="s">
        <v>713</v>
      </c>
      <c r="L71" s="237">
        <v>2</v>
      </c>
      <c r="M71" s="237" t="s">
        <v>721</v>
      </c>
    </row>
    <row r="72" spans="1:13" x14ac:dyDescent="0.3">
      <c r="A72" s="252"/>
      <c r="B72" s="237">
        <v>2</v>
      </c>
      <c r="C72" s="237" t="s">
        <v>703</v>
      </c>
      <c r="L72" s="237">
        <v>3</v>
      </c>
      <c r="M72" s="237" t="s">
        <v>722</v>
      </c>
    </row>
    <row r="73" spans="1:13" x14ac:dyDescent="0.3">
      <c r="A73" s="252"/>
      <c r="B73" s="237">
        <v>3</v>
      </c>
      <c r="C73" s="237" t="s">
        <v>714</v>
      </c>
      <c r="L73" s="237">
        <v>4</v>
      </c>
      <c r="M73" s="237" t="s">
        <v>723</v>
      </c>
    </row>
    <row r="74" spans="1:13" x14ac:dyDescent="0.3">
      <c r="A74" s="252"/>
      <c r="B74" s="237">
        <v>4</v>
      </c>
      <c r="C74" s="237" t="s">
        <v>679</v>
      </c>
      <c r="L74" s="237">
        <v>5</v>
      </c>
      <c r="M74" s="237" t="s">
        <v>724</v>
      </c>
    </row>
    <row r="75" spans="1:13" x14ac:dyDescent="0.3">
      <c r="A75" s="252" t="s">
        <v>725</v>
      </c>
      <c r="B75" s="237" t="s">
        <v>718</v>
      </c>
      <c r="L75" s="237">
        <v>6</v>
      </c>
      <c r="M75" s="237" t="s">
        <v>726</v>
      </c>
    </row>
    <row r="76" spans="1:13" x14ac:dyDescent="0.3">
      <c r="A76" s="252"/>
      <c r="B76" s="237">
        <v>1</v>
      </c>
      <c r="C76" s="237" t="s">
        <v>720</v>
      </c>
      <c r="L76" s="237">
        <v>7</v>
      </c>
      <c r="M76" s="237" t="s">
        <v>727</v>
      </c>
    </row>
    <row r="77" spans="1:13" x14ac:dyDescent="0.3">
      <c r="A77" s="252"/>
      <c r="B77" s="237">
        <v>2</v>
      </c>
      <c r="C77" s="237" t="s">
        <v>728</v>
      </c>
      <c r="L77" s="237">
        <v>8</v>
      </c>
      <c r="M77" s="237" t="s">
        <v>679</v>
      </c>
    </row>
    <row r="78" spans="1:13" x14ac:dyDescent="0.3">
      <c r="A78" s="252"/>
      <c r="B78" s="237">
        <v>3</v>
      </c>
      <c r="C78" s="237" t="s">
        <v>722</v>
      </c>
      <c r="L78" s="237" t="s">
        <v>725</v>
      </c>
      <c r="M78" s="237" t="s">
        <v>729</v>
      </c>
    </row>
    <row r="79" spans="1:13" x14ac:dyDescent="0.3">
      <c r="A79" s="252"/>
      <c r="B79" s="237">
        <v>4</v>
      </c>
      <c r="C79" s="237" t="s">
        <v>730</v>
      </c>
      <c r="L79" s="237" t="s">
        <v>731</v>
      </c>
      <c r="M79" s="237" t="s">
        <v>683</v>
      </c>
    </row>
    <row r="80" spans="1:13" x14ac:dyDescent="0.3">
      <c r="A80" s="252"/>
      <c r="B80" s="237">
        <v>5</v>
      </c>
      <c r="C80" s="237" t="s">
        <v>732</v>
      </c>
      <c r="L80" s="237" t="s">
        <v>733</v>
      </c>
      <c r="M80" s="237" t="s">
        <v>734</v>
      </c>
    </row>
    <row r="81" spans="1:13" x14ac:dyDescent="0.3">
      <c r="A81" s="252"/>
      <c r="B81" s="237">
        <v>6</v>
      </c>
      <c r="C81" s="237" t="s">
        <v>679</v>
      </c>
      <c r="L81" s="237" t="s">
        <v>735</v>
      </c>
      <c r="M81" s="237" t="s">
        <v>736</v>
      </c>
    </row>
    <row r="82" spans="1:13" x14ac:dyDescent="0.3">
      <c r="A82" s="252" t="s">
        <v>731</v>
      </c>
      <c r="B82" s="237" t="s">
        <v>685</v>
      </c>
      <c r="L82" s="237" t="s">
        <v>737</v>
      </c>
      <c r="M82" s="237" t="s">
        <v>738</v>
      </c>
    </row>
    <row r="83" spans="1:13" x14ac:dyDescent="0.3">
      <c r="A83" s="252" t="s">
        <v>733</v>
      </c>
      <c r="B83" s="237" t="s">
        <v>683</v>
      </c>
    </row>
    <row r="84" spans="1:13" x14ac:dyDescent="0.3">
      <c r="A84" s="252" t="s">
        <v>739</v>
      </c>
      <c r="B84" s="237" t="s">
        <v>740</v>
      </c>
    </row>
    <row r="85" spans="1:13" x14ac:dyDescent="0.3">
      <c r="A85" s="252" t="s">
        <v>737</v>
      </c>
      <c r="B85" s="237" t="s">
        <v>741</v>
      </c>
    </row>
    <row r="86" spans="1:13" x14ac:dyDescent="0.3">
      <c r="A86" s="252" t="s">
        <v>742</v>
      </c>
      <c r="B86" s="237" t="s">
        <v>743</v>
      </c>
    </row>
    <row r="87" spans="1:13" x14ac:dyDescent="0.3">
      <c r="A87" s="252" t="s">
        <v>744</v>
      </c>
      <c r="B87" s="237" t="s">
        <v>745</v>
      </c>
    </row>
  </sheetData>
  <mergeCells count="8">
    <mergeCell ref="B8:K8"/>
    <mergeCell ref="E9:K9"/>
    <mergeCell ref="C1:L1"/>
    <mergeCell ref="C2:L2"/>
    <mergeCell ref="C3:K3"/>
    <mergeCell ref="B5:K5"/>
    <mergeCell ref="B6:K6"/>
    <mergeCell ref="B7:K7"/>
  </mergeCells>
  <conditionalFormatting sqref="M28">
    <cfRule type="expression" dxfId="138"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pageSetUpPr fitToPage="1"/>
  </sheetPr>
  <dimension ref="A2:BP260"/>
  <sheetViews>
    <sheetView zoomScaleNormal="100" workbookViewId="0">
      <selection activeCell="D209" sqref="D209"/>
    </sheetView>
  </sheetViews>
  <sheetFormatPr defaultColWidth="11" defaultRowHeight="13.8" x14ac:dyDescent="0.3"/>
  <cols>
    <col min="1" max="1" width="2.6640625" style="106" bestFit="1" customWidth="1"/>
    <col min="2" max="2" width="3.77734375" style="106" customWidth="1"/>
    <col min="3" max="3" width="7.33203125" style="106" customWidth="1"/>
    <col min="4" max="4" width="29.44140625" style="106" customWidth="1"/>
    <col min="5" max="5" width="0.88671875" style="106" customWidth="1"/>
    <col min="6" max="6" width="10.109375" style="180" customWidth="1"/>
    <col min="7" max="7" width="0.44140625" style="180" customWidth="1"/>
    <col min="8" max="8" width="5.6640625" style="125" customWidth="1"/>
    <col min="9" max="9" width="0.88671875" style="125" customWidth="1"/>
    <col min="10" max="10" width="7.109375" style="125" customWidth="1"/>
    <col min="11" max="11" width="0.44140625" style="125" customWidth="1"/>
    <col min="12" max="12" width="5" style="125" customWidth="1"/>
    <col min="13" max="13" width="1" style="125" customWidth="1"/>
    <col min="14" max="14" width="6.21875" style="125" customWidth="1"/>
    <col min="15" max="15" width="2" style="125" customWidth="1"/>
    <col min="16" max="16" width="3.33203125" style="180" customWidth="1"/>
    <col min="17" max="17" width="7.88671875" style="180" customWidth="1"/>
    <col min="18" max="19" width="1" style="125" customWidth="1"/>
    <col min="20" max="20" width="1" style="125" hidden="1" customWidth="1"/>
    <col min="21" max="21" width="4.44140625" style="125" hidden="1" customWidth="1"/>
    <col min="22" max="22" width="0.88671875" style="125" hidden="1" customWidth="1"/>
    <col min="23" max="23" width="5.109375" style="125" hidden="1" customWidth="1"/>
    <col min="24" max="24" width="0.44140625" style="125" hidden="1" customWidth="1"/>
    <col min="25" max="25" width="4.44140625" style="125" hidden="1" customWidth="1"/>
    <col min="26" max="26" width="1" style="125" hidden="1" customWidth="1"/>
    <col min="27" max="27" width="6.21875" style="125" hidden="1" customWidth="1"/>
    <col min="28" max="28" width="1.33203125" style="125" hidden="1" customWidth="1"/>
    <col min="29" max="29" width="3.33203125" style="107" hidden="1" customWidth="1"/>
    <col min="30" max="30" width="7.88671875" style="107" hidden="1" customWidth="1"/>
    <col min="31" max="33" width="1" style="125" hidden="1" customWidth="1"/>
    <col min="34" max="34" width="8" style="125" hidden="1" customWidth="1"/>
    <col min="35" max="35" width="0.88671875" style="125" hidden="1" customWidth="1"/>
    <col min="36" max="36" width="6.33203125" style="125" hidden="1" customWidth="1"/>
    <col min="37" max="37" width="0.44140625" style="125" hidden="1" customWidth="1"/>
    <col min="38" max="38" width="7" style="125" hidden="1" customWidth="1"/>
    <col min="39" max="39" width="1" style="125" hidden="1" customWidth="1"/>
    <col min="40" max="40" width="6.21875" style="125" hidden="1" customWidth="1"/>
    <col min="41" max="41" width="1.33203125" style="125" hidden="1" customWidth="1"/>
    <col min="42" max="42" width="3.33203125" style="278" hidden="1" customWidth="1"/>
    <col min="43" max="43" width="10.21875" style="278" hidden="1" customWidth="1"/>
    <col min="44" max="44" width="1.33203125" style="106" customWidth="1"/>
    <col min="45" max="45" width="7.109375" style="106" customWidth="1"/>
    <col min="46" max="46" width="1.109375" style="106" customWidth="1"/>
    <col min="47" max="47" width="8.33203125" style="106" customWidth="1"/>
    <col min="48" max="48" width="1.6640625" style="106" hidden="1" customWidth="1"/>
    <col min="49" max="49" width="8.88671875" style="107" hidden="1" customWidth="1"/>
    <col min="50" max="50" width="1.21875" style="106" hidden="1" customWidth="1"/>
    <col min="51" max="51" width="9.109375" style="107" hidden="1" customWidth="1"/>
    <col min="52" max="52" width="1.33203125" style="106" hidden="1" customWidth="1"/>
    <col min="53" max="53" width="7.44140625" style="108" hidden="1" customWidth="1"/>
    <col min="54" max="54" width="4.21875" style="106" hidden="1" customWidth="1"/>
    <col min="55" max="55" width="8.77734375" style="107" hidden="1" customWidth="1"/>
    <col min="56" max="56" width="1.109375" style="106" hidden="1" customWidth="1"/>
    <col min="57" max="57" width="11" style="106" hidden="1" customWidth="1"/>
    <col min="58" max="58" width="1.44140625" style="106" hidden="1" customWidth="1"/>
    <col min="59" max="59" width="11" style="109" hidden="1" customWidth="1"/>
    <col min="60" max="60" width="1.6640625" style="106" hidden="1" customWidth="1"/>
    <col min="61" max="61" width="11" style="106" customWidth="1"/>
    <col min="62" max="62" width="1.33203125" style="106" hidden="1" customWidth="1"/>
    <col min="63" max="68" width="11" style="106" hidden="1" customWidth="1"/>
    <col min="69" max="69" width="0" style="106" hidden="1" customWidth="1"/>
    <col min="70" max="16384" width="11" style="106"/>
  </cols>
  <sheetData>
    <row r="2" spans="1:59" ht="21" x14ac:dyDescent="0.4">
      <c r="D2" s="745" t="s">
        <v>781</v>
      </c>
      <c r="E2" s="745"/>
      <c r="F2" s="745"/>
      <c r="G2" s="745"/>
      <c r="H2" s="745"/>
      <c r="I2" s="745"/>
      <c r="J2" s="745"/>
      <c r="K2" s="745"/>
      <c r="L2" s="745"/>
      <c r="M2" s="745"/>
      <c r="N2" s="745"/>
      <c r="O2" s="745"/>
      <c r="P2" s="745"/>
      <c r="Q2" s="745"/>
      <c r="R2" s="745"/>
      <c r="S2" s="745"/>
      <c r="T2" s="745"/>
      <c r="U2" s="745"/>
      <c r="V2" s="745"/>
      <c r="W2" s="745"/>
      <c r="X2" s="745"/>
      <c r="Y2" s="745"/>
      <c r="Z2" s="747"/>
      <c r="AA2" s="747"/>
      <c r="AB2" s="747"/>
      <c r="AC2" s="747"/>
      <c r="AD2" s="747"/>
      <c r="AE2" s="747"/>
      <c r="AF2" s="747"/>
      <c r="AG2" s="747"/>
      <c r="AH2" s="747"/>
      <c r="AI2" s="747"/>
      <c r="AJ2" s="747"/>
      <c r="AK2" s="747"/>
      <c r="AL2" s="747"/>
      <c r="AM2" s="747"/>
      <c r="AN2" s="747"/>
      <c r="AO2" s="747"/>
      <c r="AP2" s="747"/>
      <c r="AQ2" s="747"/>
      <c r="AR2" s="747"/>
    </row>
    <row r="3" spans="1:59" hidden="1" x14ac:dyDescent="0.3"/>
    <row r="4" spans="1:59" ht="29.25" customHeight="1" x14ac:dyDescent="0.3">
      <c r="D4" s="749">
        <f>Title</f>
        <v>0</v>
      </c>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W4" s="107" t="s">
        <v>782</v>
      </c>
      <c r="AY4" s="107" t="s">
        <v>783</v>
      </c>
      <c r="BA4" s="108" t="s">
        <v>784</v>
      </c>
      <c r="BC4" s="107" t="str">
        <f>AW4</f>
        <v>Grant</v>
      </c>
      <c r="BE4" s="107" t="str">
        <f>AY4</f>
        <v>Match</v>
      </c>
      <c r="BG4" s="108" t="str">
        <f>BA4</f>
        <v>Total</v>
      </c>
    </row>
    <row r="5" spans="1:59" x14ac:dyDescent="0.3">
      <c r="D5" s="751" t="str">
        <f>"Year Five:  "&amp;TEXT(YR5Start,"mmmm dd, yyyy")&amp;" - "&amp;TEXT(YR5End,"mmmm dd, yyyy")</f>
        <v>Year Five:  December 31, 1903 - December 30, 1904</v>
      </c>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row>
    <row r="6" spans="1:59" s="467" customFormat="1" ht="3" customHeight="1" x14ac:dyDescent="0.3">
      <c r="D6" s="468"/>
      <c r="E6" s="468"/>
      <c r="F6" s="469"/>
      <c r="G6" s="469"/>
      <c r="H6" s="474"/>
      <c r="I6" s="474"/>
      <c r="J6" s="474"/>
      <c r="K6" s="474"/>
      <c r="L6" s="474"/>
      <c r="M6" s="474"/>
      <c r="N6" s="474"/>
      <c r="O6" s="474"/>
      <c r="P6" s="469"/>
      <c r="Q6" s="469"/>
      <c r="R6" s="474"/>
      <c r="S6" s="474"/>
      <c r="T6" s="474"/>
      <c r="U6" s="474"/>
      <c r="V6" s="474"/>
      <c r="W6" s="474"/>
      <c r="X6" s="474"/>
      <c r="Y6" s="474"/>
      <c r="Z6" s="474"/>
      <c r="AA6" s="474"/>
      <c r="AB6" s="474"/>
      <c r="AC6" s="470"/>
      <c r="AD6" s="470"/>
      <c r="AE6" s="474"/>
      <c r="AF6" s="474"/>
      <c r="AG6" s="474"/>
      <c r="AH6" s="474"/>
      <c r="AI6" s="474"/>
      <c r="AJ6" s="474"/>
      <c r="AK6" s="474"/>
      <c r="AL6" s="474"/>
      <c r="AM6" s="474"/>
      <c r="AN6" s="474"/>
      <c r="AO6" s="474"/>
      <c r="AP6" s="475"/>
      <c r="AQ6" s="475"/>
      <c r="AW6" s="470"/>
      <c r="AY6" s="470"/>
      <c r="BA6" s="471"/>
      <c r="BC6" s="470"/>
      <c r="BG6" s="476"/>
    </row>
    <row r="7" spans="1:59" ht="3" customHeight="1" x14ac:dyDescent="0.3">
      <c r="B7" s="21"/>
      <c r="C7" s="21"/>
      <c r="D7" s="21"/>
      <c r="E7" s="21"/>
      <c r="F7" s="41"/>
      <c r="G7" s="41"/>
      <c r="H7" s="41"/>
      <c r="I7" s="41"/>
      <c r="J7" s="41"/>
      <c r="K7" s="41"/>
      <c r="L7" s="41"/>
      <c r="M7" s="41"/>
      <c r="N7" s="41"/>
      <c r="O7" s="41"/>
      <c r="P7" s="41"/>
      <c r="T7" s="331"/>
      <c r="U7" s="297"/>
      <c r="V7" s="297"/>
      <c r="W7" s="297"/>
      <c r="X7" s="297"/>
      <c r="Y7" s="297"/>
      <c r="Z7" s="297"/>
      <c r="AA7" s="297"/>
      <c r="AB7" s="297"/>
      <c r="AC7" s="431"/>
      <c r="AD7" s="431"/>
      <c r="AE7" s="332"/>
    </row>
    <row r="8" spans="1:59" x14ac:dyDescent="0.3">
      <c r="H8" s="756" t="s">
        <v>180</v>
      </c>
      <c r="I8" s="756"/>
      <c r="J8" s="756"/>
      <c r="K8" s="756"/>
      <c r="L8" s="756"/>
      <c r="M8" s="756"/>
      <c r="N8" s="756"/>
      <c r="O8" s="756"/>
      <c r="P8" s="756"/>
      <c r="Q8" s="756"/>
      <c r="R8" s="127"/>
      <c r="S8" s="127"/>
      <c r="T8" s="348"/>
      <c r="U8" s="758" t="s">
        <v>182</v>
      </c>
      <c r="V8" s="758"/>
      <c r="W8" s="758"/>
      <c r="X8" s="758"/>
      <c r="Y8" s="758"/>
      <c r="Z8" s="758"/>
      <c r="AA8" s="758"/>
      <c r="AB8" s="758"/>
      <c r="AC8" s="758"/>
      <c r="AD8" s="758"/>
      <c r="AE8" s="349"/>
      <c r="AF8" s="127"/>
      <c r="AG8" s="127"/>
      <c r="AH8" s="760" t="s">
        <v>785</v>
      </c>
      <c r="AI8" s="760"/>
      <c r="AJ8" s="760"/>
      <c r="AK8" s="760"/>
      <c r="AL8" s="760"/>
      <c r="AM8" s="760"/>
      <c r="AN8" s="760"/>
      <c r="AO8" s="760"/>
      <c r="AP8" s="760"/>
      <c r="AQ8" s="760"/>
    </row>
    <row r="9" spans="1:59" ht="12" customHeight="1" x14ac:dyDescent="0.4">
      <c r="H9" s="757" t="s">
        <v>786</v>
      </c>
      <c r="I9" s="757"/>
      <c r="J9" s="757"/>
      <c r="K9" s="757"/>
      <c r="L9" s="757"/>
      <c r="M9" s="757"/>
      <c r="N9" s="757"/>
      <c r="O9" s="757"/>
      <c r="P9" s="757"/>
      <c r="Q9" s="757"/>
      <c r="R9" s="347"/>
      <c r="S9" s="347"/>
      <c r="T9" s="350"/>
      <c r="U9" s="759" t="s">
        <v>787</v>
      </c>
      <c r="V9" s="759"/>
      <c r="W9" s="759"/>
      <c r="X9" s="759"/>
      <c r="Y9" s="759"/>
      <c r="Z9" s="759"/>
      <c r="AA9" s="759"/>
      <c r="AB9" s="759"/>
      <c r="AC9" s="759"/>
      <c r="AD9" s="759"/>
      <c r="AE9" s="351"/>
      <c r="AF9" s="115"/>
      <c r="AG9" s="115"/>
      <c r="AH9" s="760" t="s">
        <v>784</v>
      </c>
      <c r="AI9" s="760"/>
      <c r="AJ9" s="760"/>
      <c r="AK9" s="760"/>
      <c r="AL9" s="760"/>
      <c r="AM9" s="760"/>
      <c r="AN9" s="760"/>
      <c r="AO9" s="760"/>
      <c r="AP9" s="760"/>
      <c r="AQ9" s="760"/>
      <c r="AS9" s="778" t="s">
        <v>788</v>
      </c>
      <c r="AT9" s="779"/>
      <c r="AU9" s="780"/>
      <c r="AW9" s="766" t="s">
        <v>789</v>
      </c>
      <c r="AX9" s="766"/>
      <c r="AY9" s="766"/>
      <c r="AZ9" s="766"/>
      <c r="BA9" s="766"/>
      <c r="BB9" s="766"/>
      <c r="BC9" s="766"/>
      <c r="BD9" s="766"/>
      <c r="BE9" s="766"/>
      <c r="BF9" s="766"/>
      <c r="BG9" s="766"/>
    </row>
    <row r="10" spans="1:59" ht="3" customHeight="1" x14ac:dyDescent="0.3">
      <c r="T10" s="337"/>
      <c r="AE10" s="336"/>
      <c r="AS10" s="518"/>
      <c r="AU10" s="322"/>
    </row>
    <row r="11" spans="1:59" ht="36" customHeight="1" x14ac:dyDescent="0.3">
      <c r="D11" s="115"/>
      <c r="E11" s="115"/>
      <c r="F11" s="147" t="s">
        <v>790</v>
      </c>
      <c r="G11" s="394"/>
      <c r="H11" s="148" t="s">
        <v>150</v>
      </c>
      <c r="I11" s="114"/>
      <c r="J11" s="148" t="s">
        <v>791</v>
      </c>
      <c r="K11" s="114"/>
      <c r="L11" s="148" t="s">
        <v>792</v>
      </c>
      <c r="M11" s="114"/>
      <c r="N11" s="148" t="s">
        <v>791</v>
      </c>
      <c r="O11" s="114"/>
      <c r="P11" s="741" t="s">
        <v>793</v>
      </c>
      <c r="Q11" s="741"/>
      <c r="R11" s="280"/>
      <c r="S11" s="280"/>
      <c r="T11" s="335"/>
      <c r="U11" s="282" t="str">
        <f>H11</f>
        <v>Acad</v>
      </c>
      <c r="V11" s="280"/>
      <c r="W11" s="282" t="str">
        <f>J11</f>
        <v>% Effort</v>
      </c>
      <c r="X11" s="280"/>
      <c r="Y11" s="282" t="str">
        <f>L11</f>
        <v>Sumr</v>
      </c>
      <c r="Z11" s="280"/>
      <c r="AA11" s="282" t="str">
        <f>N11</f>
        <v>% Effort</v>
      </c>
      <c r="AB11" s="280"/>
      <c r="AC11" s="742" t="str">
        <f>P11</f>
        <v>Requested Salary/Fringe</v>
      </c>
      <c r="AD11" s="742">
        <f>Q11</f>
        <v>0</v>
      </c>
      <c r="AE11" s="338"/>
      <c r="AF11" s="280"/>
      <c r="AG11" s="280"/>
      <c r="AH11" s="282" t="str">
        <f>H11</f>
        <v>Acad</v>
      </c>
      <c r="AI11" s="280"/>
      <c r="AJ11" s="282" t="str">
        <f>J11</f>
        <v>% Effort</v>
      </c>
      <c r="AK11" s="280"/>
      <c r="AL11" s="282" t="str">
        <f>L11</f>
        <v>Sumr</v>
      </c>
      <c r="AM11" s="280"/>
      <c r="AN11" s="282" t="str">
        <f>N11</f>
        <v>% Effort</v>
      </c>
      <c r="AO11" s="280"/>
      <c r="AP11" s="768" t="str">
        <f>AC11</f>
        <v>Requested Salary/Fringe</v>
      </c>
      <c r="AQ11" s="768">
        <f>AD11</f>
        <v>0</v>
      </c>
      <c r="AS11" s="516" t="s">
        <v>794</v>
      </c>
      <c r="AT11" s="512"/>
      <c r="AU11" s="517" t="s">
        <v>795</v>
      </c>
      <c r="AW11" s="740" t="s">
        <v>796</v>
      </c>
      <c r="AX11" s="740"/>
      <c r="AY11" s="740"/>
      <c r="AZ11" s="740"/>
      <c r="BA11" s="740"/>
      <c r="BC11" s="740" t="s">
        <v>712</v>
      </c>
      <c r="BD11" s="740"/>
      <c r="BE11" s="740"/>
      <c r="BF11" s="740"/>
      <c r="BG11" s="740"/>
    </row>
    <row r="12" spans="1:59" x14ac:dyDescent="0.3">
      <c r="A12" s="118" t="s">
        <v>180</v>
      </c>
      <c r="B12" s="109" t="s">
        <v>797</v>
      </c>
      <c r="D12" s="115"/>
      <c r="E12" s="115"/>
      <c r="O12" s="283"/>
      <c r="T12" s="337"/>
      <c r="AE12" s="336"/>
      <c r="AS12" s="323"/>
      <c r="AU12" s="322"/>
    </row>
    <row r="13" spans="1:59" ht="14.25" customHeight="1" x14ac:dyDescent="0.3">
      <c r="B13" s="113"/>
      <c r="C13" s="125" t="str">
        <f>"PI ~ "</f>
        <v xml:space="preserve">PI ~ </v>
      </c>
      <c r="D13" s="21">
        <f>PI</f>
        <v>0</v>
      </c>
      <c r="F13" s="284">
        <f>ROUND((VLOOKUP(D13,Salaries!$A$3:$I$370,8,FALSE))*(1+COLA/100)*(1+COLA/100)*(1+COLA/100)*(1+COLA/100),0)</f>
        <v>0</v>
      </c>
      <c r="H13" s="385"/>
      <c r="I13" s="306"/>
      <c r="J13" s="307"/>
      <c r="K13" s="307"/>
      <c r="L13" s="385"/>
      <c r="M13" s="305"/>
      <c r="N13" s="307">
        <v>1</v>
      </c>
      <c r="O13" s="285"/>
      <c r="P13" s="739">
        <f>ROUND(F13/12*H13*J13+F13/12*L13*N13, 0)</f>
        <v>0</v>
      </c>
      <c r="Q13" s="739"/>
      <c r="T13" s="337"/>
      <c r="U13" s="385"/>
      <c r="V13" s="306"/>
      <c r="W13" s="307"/>
      <c r="X13" s="307"/>
      <c r="Y13" s="385"/>
      <c r="Z13" s="305"/>
      <c r="AA13" s="307"/>
      <c r="AC13" s="739">
        <f>ROUND((F13/12*U13*W13)+(F13/12*Y13*AA13),0)</f>
        <v>0</v>
      </c>
      <c r="AD13" s="739"/>
      <c r="AE13" s="336"/>
      <c r="AH13" s="152">
        <f>U13+H13</f>
        <v>0</v>
      </c>
      <c r="AI13" s="152"/>
      <c r="AJ13" s="286">
        <f>W13+J13</f>
        <v>0</v>
      </c>
      <c r="AK13" s="152"/>
      <c r="AL13" s="152">
        <f>Y13+L13</f>
        <v>0</v>
      </c>
      <c r="AM13" s="152"/>
      <c r="AN13" s="286">
        <f>AA13+N13</f>
        <v>1</v>
      </c>
      <c r="AO13" s="279"/>
      <c r="AP13" s="765">
        <f>ROUND(SUM(P13:Q14)+SUM(AC13:AD14),0)</f>
        <v>0</v>
      </c>
      <c r="AQ13" s="765"/>
      <c r="AS13" s="323"/>
      <c r="AU13" s="322"/>
      <c r="AW13" s="107">
        <f>Q13</f>
        <v>0</v>
      </c>
      <c r="AY13" s="107">
        <f>ROUND(AC13,0)</f>
        <v>0</v>
      </c>
      <c r="BA13" s="108">
        <f>ROUND(AY13+AW13,0)</f>
        <v>0</v>
      </c>
    </row>
    <row r="14" spans="1:59" x14ac:dyDescent="0.3">
      <c r="B14" s="119"/>
      <c r="C14" s="115"/>
      <c r="D14" s="106" t="str">
        <f>"Fringe @ "&amp;TEXT(FRINGE,"0.00%")</f>
        <v>Fringe @ 27.27%</v>
      </c>
      <c r="H14" s="121"/>
      <c r="I14" s="121"/>
      <c r="J14" s="121"/>
      <c r="K14" s="121"/>
      <c r="L14" s="121"/>
      <c r="M14" s="121"/>
      <c r="N14" s="121"/>
      <c r="O14" s="283"/>
      <c r="Q14" s="180">
        <f>ROUND(P13*FRINGE*(1+FrCOLA+FrCOLA+FrCOLA+FrCOLA),0)</f>
        <v>0</v>
      </c>
      <c r="T14" s="337"/>
      <c r="U14" s="121"/>
      <c r="V14" s="121"/>
      <c r="W14" s="121"/>
      <c r="X14" s="121"/>
      <c r="Y14" s="121"/>
      <c r="Z14" s="121"/>
      <c r="AA14" s="121"/>
      <c r="AC14" s="180"/>
      <c r="AD14" s="180">
        <f>ROUND(AC13*FRINGE*(1+FrCOLA+FrCOLA+FrCOLA+FrCOLA),0)</f>
        <v>0</v>
      </c>
      <c r="AE14" s="336"/>
      <c r="AH14" s="152"/>
      <c r="AI14" s="152"/>
      <c r="AJ14" s="152"/>
      <c r="AK14" s="152"/>
      <c r="AL14" s="152"/>
      <c r="AM14" s="152"/>
      <c r="AN14" s="152"/>
      <c r="AO14" s="279"/>
      <c r="AP14" s="765"/>
      <c r="AQ14" s="765"/>
      <c r="AS14" s="323"/>
      <c r="AU14" s="322"/>
      <c r="BC14" s="107">
        <f>ROUND(Q14,0)</f>
        <v>0</v>
      </c>
      <c r="BE14" s="107">
        <f>ROUND(AD14,0)</f>
        <v>0</v>
      </c>
      <c r="BG14" s="108">
        <f>ROUND(BE14+BC14,0)</f>
        <v>0</v>
      </c>
    </row>
    <row r="15" spans="1:59" ht="3" customHeight="1" x14ac:dyDescent="0.3">
      <c r="B15" s="119"/>
      <c r="C15" s="115"/>
      <c r="H15" s="121"/>
      <c r="I15" s="121"/>
      <c r="J15" s="121"/>
      <c r="K15" s="121"/>
      <c r="L15" s="121"/>
      <c r="M15" s="121"/>
      <c r="N15" s="121"/>
      <c r="O15" s="283"/>
      <c r="T15" s="337"/>
      <c r="U15" s="121"/>
      <c r="V15" s="121"/>
      <c r="W15" s="121"/>
      <c r="X15" s="121"/>
      <c r="Y15" s="121"/>
      <c r="Z15" s="121"/>
      <c r="AA15" s="121"/>
      <c r="AC15" s="180"/>
      <c r="AD15" s="180"/>
      <c r="AE15" s="336"/>
      <c r="AH15" s="152"/>
      <c r="AI15" s="152"/>
      <c r="AJ15" s="152"/>
      <c r="AK15" s="152"/>
      <c r="AL15" s="152"/>
      <c r="AM15" s="152"/>
      <c r="AN15" s="152"/>
      <c r="AO15" s="279"/>
      <c r="AP15" s="608"/>
      <c r="AQ15" s="608"/>
      <c r="AS15" s="323"/>
      <c r="AU15" s="322"/>
    </row>
    <row r="16" spans="1:59" ht="14.25" customHeight="1" x14ac:dyDescent="0.3">
      <c r="B16" s="113"/>
      <c r="C16" s="125" t="s">
        <v>798</v>
      </c>
      <c r="D16" s="21">
        <f>'YEAR 4'!D16</f>
        <v>0</v>
      </c>
      <c r="F16" s="284">
        <f>ROUND((VLOOKUP(D16,Salaries!$A$3:$I$370,8,FALSE))*(1+COLA/100)*(1+COLA/100)*(1+COLA/100)*(1+COLA/100),0)</f>
        <v>0</v>
      </c>
      <c r="H16" s="385"/>
      <c r="I16" s="306"/>
      <c r="J16" s="307"/>
      <c r="K16" s="307"/>
      <c r="L16" s="385"/>
      <c r="M16" s="305"/>
      <c r="N16" s="307"/>
      <c r="O16" s="285"/>
      <c r="P16" s="739">
        <f>ROUND(F16/12*H16*J16+F16/12*L16*N16, 0)</f>
        <v>0</v>
      </c>
      <c r="Q16" s="739"/>
      <c r="T16" s="337"/>
      <c r="U16" s="385"/>
      <c r="V16" s="306"/>
      <c r="W16" s="307"/>
      <c r="X16" s="307"/>
      <c r="Y16" s="385"/>
      <c r="Z16" s="305"/>
      <c r="AA16" s="307"/>
      <c r="AC16" s="739">
        <f>ROUND((F16/12*U16*W16)+(F16/12*Y16*AA16),0)</f>
        <v>0</v>
      </c>
      <c r="AD16" s="739"/>
      <c r="AE16" s="336"/>
      <c r="AH16" s="152">
        <f>U16+H16</f>
        <v>0</v>
      </c>
      <c r="AI16" s="152"/>
      <c r="AJ16" s="286">
        <f>W16+J16</f>
        <v>0</v>
      </c>
      <c r="AK16" s="152"/>
      <c r="AL16" s="152">
        <f>Y16+L16</f>
        <v>0</v>
      </c>
      <c r="AM16" s="152"/>
      <c r="AN16" s="286">
        <f>AA16+N16</f>
        <v>0</v>
      </c>
      <c r="AO16" s="279"/>
      <c r="AP16" s="765">
        <f>ROUND(SUM(P16:Q17)+SUM(AC16:AD17),0)</f>
        <v>0</v>
      </c>
      <c r="AQ16" s="765"/>
      <c r="AS16" s="323"/>
      <c r="AU16" s="322"/>
      <c r="AW16" s="107">
        <f>P16</f>
        <v>0</v>
      </c>
      <c r="AY16" s="107">
        <f>ROUND(AC16,0)</f>
        <v>0</v>
      </c>
      <c r="BA16" s="108">
        <f>ROUND(AY16+AW16,0)</f>
        <v>0</v>
      </c>
    </row>
    <row r="17" spans="3:59" ht="12.75" customHeight="1" x14ac:dyDescent="0.3">
      <c r="D17" s="106" t="str">
        <f>"Fringe @ "&amp;TEXT(FRINGE,"0.00%")</f>
        <v>Fringe @ 27.27%</v>
      </c>
      <c r="H17" s="121"/>
      <c r="I17" s="121"/>
      <c r="J17" s="121"/>
      <c r="K17" s="121"/>
      <c r="L17" s="121"/>
      <c r="M17" s="121"/>
      <c r="N17" s="121"/>
      <c r="O17" s="283"/>
      <c r="Q17" s="180">
        <f>ROUND(P16*FRINGE*(1+FrCOLA+FrCOLA+FrCOLA+FrCOLA),0)</f>
        <v>0</v>
      </c>
      <c r="T17" s="337"/>
      <c r="U17" s="121"/>
      <c r="V17" s="121"/>
      <c r="W17" s="121"/>
      <c r="X17" s="121"/>
      <c r="Y17" s="121"/>
      <c r="Z17" s="121"/>
      <c r="AA17" s="121"/>
      <c r="AC17" s="180"/>
      <c r="AD17" s="180">
        <f>ROUND(AC16*FRINGE*(1+FrCOLA+FrCOLA+FrCOLA+FrCOLA),0)</f>
        <v>0</v>
      </c>
      <c r="AE17" s="336"/>
      <c r="AH17" s="152"/>
      <c r="AI17" s="152"/>
      <c r="AJ17" s="152"/>
      <c r="AK17" s="152"/>
      <c r="AL17" s="152"/>
      <c r="AM17" s="152"/>
      <c r="AN17" s="152"/>
      <c r="AO17" s="279"/>
      <c r="AP17" s="765"/>
      <c r="AQ17" s="765"/>
      <c r="AS17" s="323"/>
      <c r="AU17" s="322"/>
      <c r="BC17" s="107">
        <f>ROUND(Q17,0)</f>
        <v>0</v>
      </c>
      <c r="BE17" s="107">
        <f>ROUND(AD17,0)</f>
        <v>0</v>
      </c>
      <c r="BG17" s="108">
        <f>ROUND(BE17+BC17,0)</f>
        <v>0</v>
      </c>
    </row>
    <row r="18" spans="3:59" ht="3" customHeight="1" x14ac:dyDescent="0.3">
      <c r="H18" s="121"/>
      <c r="I18" s="121"/>
      <c r="J18" s="121"/>
      <c r="K18" s="121"/>
      <c r="L18" s="121"/>
      <c r="M18" s="121"/>
      <c r="N18" s="121"/>
      <c r="O18" s="283"/>
      <c r="T18" s="337"/>
      <c r="U18" s="121"/>
      <c r="V18" s="121"/>
      <c r="W18" s="121"/>
      <c r="X18" s="121"/>
      <c r="Y18" s="121"/>
      <c r="Z18" s="121"/>
      <c r="AA18" s="121"/>
      <c r="AC18" s="180"/>
      <c r="AD18" s="180"/>
      <c r="AE18" s="336"/>
      <c r="AH18" s="152"/>
      <c r="AI18" s="152"/>
      <c r="AJ18" s="152"/>
      <c r="AK18" s="152"/>
      <c r="AL18" s="152"/>
      <c r="AM18" s="152"/>
      <c r="AN18" s="152"/>
      <c r="AO18" s="279"/>
      <c r="AS18" s="323"/>
      <c r="AU18" s="322"/>
    </row>
    <row r="19" spans="3:59" ht="14.25" customHeight="1" x14ac:dyDescent="0.3">
      <c r="C19" s="125" t="s">
        <v>798</v>
      </c>
      <c r="D19" s="21">
        <f>'YEAR 4'!D19</f>
        <v>0</v>
      </c>
      <c r="F19" s="284">
        <f>ROUND((VLOOKUP(D19,Salaries!$A$3:$I$370,8,FALSE))*(1+COLA/100)*(1+COLA/100)*(1+COLA/100)*(1+COLA/100),0)</f>
        <v>0</v>
      </c>
      <c r="H19" s="385"/>
      <c r="I19" s="306"/>
      <c r="J19" s="307"/>
      <c r="K19" s="307"/>
      <c r="L19" s="385"/>
      <c r="M19" s="305"/>
      <c r="N19" s="307"/>
      <c r="O19" s="285"/>
      <c r="P19" s="739">
        <f>ROUND(F19/12*H19*J19+F19/12*L19*N19, 0)</f>
        <v>0</v>
      </c>
      <c r="Q19" s="739"/>
      <c r="T19" s="337"/>
      <c r="U19" s="385"/>
      <c r="V19" s="306"/>
      <c r="W19" s="307"/>
      <c r="X19" s="307"/>
      <c r="Y19" s="385"/>
      <c r="Z19" s="305"/>
      <c r="AA19" s="307"/>
      <c r="AC19" s="739">
        <f>ROUND((F19/12*U19*W19)+(F19/12*Y19*AA19),0)</f>
        <v>0</v>
      </c>
      <c r="AD19" s="739"/>
      <c r="AE19" s="336"/>
      <c r="AH19" s="152">
        <f>U19+H19</f>
        <v>0</v>
      </c>
      <c r="AI19" s="152"/>
      <c r="AJ19" s="286">
        <f>W19+J19</f>
        <v>0</v>
      </c>
      <c r="AK19" s="152"/>
      <c r="AL19" s="152">
        <f>Y19+L19</f>
        <v>0</v>
      </c>
      <c r="AM19" s="152"/>
      <c r="AN19" s="286">
        <f>AA19+N19</f>
        <v>0</v>
      </c>
      <c r="AO19" s="279"/>
      <c r="AP19" s="765">
        <f>ROUND(SUM(P19:Q20)+SUM(AC19:AD20),0)</f>
        <v>0</v>
      </c>
      <c r="AQ19" s="765"/>
      <c r="AS19" s="323"/>
      <c r="AU19" s="322"/>
      <c r="AW19" s="107">
        <f>P19</f>
        <v>0</v>
      </c>
      <c r="AY19" s="107">
        <f>ROUND(AC19,0)</f>
        <v>0</v>
      </c>
      <c r="BA19" s="108">
        <f>ROUND(AY19+AW19,0)</f>
        <v>0</v>
      </c>
    </row>
    <row r="20" spans="3:59" ht="12.75" customHeight="1" x14ac:dyDescent="0.3">
      <c r="D20" s="106" t="str">
        <f>"Fringe @ "&amp;TEXT(FRINGE,"0.00%")</f>
        <v>Fringe @ 27.27%</v>
      </c>
      <c r="H20" s="121"/>
      <c r="I20" s="121"/>
      <c r="J20" s="121"/>
      <c r="K20" s="121"/>
      <c r="L20" s="121"/>
      <c r="M20" s="121"/>
      <c r="N20" s="121"/>
      <c r="O20" s="283"/>
      <c r="Q20" s="180">
        <f>ROUND(P19*FRINGE*(1+FrCOLA+FrCOLA+FrCOLA+FrCOLA),0)</f>
        <v>0</v>
      </c>
      <c r="T20" s="337"/>
      <c r="U20" s="121"/>
      <c r="V20" s="121"/>
      <c r="W20" s="121"/>
      <c r="X20" s="121"/>
      <c r="Y20" s="121"/>
      <c r="Z20" s="121"/>
      <c r="AA20" s="121"/>
      <c r="AC20" s="180"/>
      <c r="AD20" s="180">
        <f>ROUND(AC19*FRINGE*(1+FrCOLA+FrCOLA+FrCOLA+FrCOLA),0)</f>
        <v>0</v>
      </c>
      <c r="AE20" s="336"/>
      <c r="AH20" s="152"/>
      <c r="AI20" s="152"/>
      <c r="AJ20" s="152"/>
      <c r="AK20" s="152"/>
      <c r="AL20" s="152"/>
      <c r="AM20" s="152"/>
      <c r="AN20" s="152"/>
      <c r="AO20" s="279"/>
      <c r="AP20" s="765"/>
      <c r="AQ20" s="765"/>
      <c r="AS20" s="323"/>
      <c r="AU20" s="322"/>
      <c r="BC20" s="107">
        <f>ROUND(Q20,0)</f>
        <v>0</v>
      </c>
      <c r="BE20" s="107">
        <f>ROUND(AD20,0)</f>
        <v>0</v>
      </c>
      <c r="BG20" s="108">
        <f>ROUND(BE20+BC20,0)</f>
        <v>0</v>
      </c>
    </row>
    <row r="21" spans="3:59" ht="3" hidden="1" customHeight="1" x14ac:dyDescent="0.3">
      <c r="H21" s="121"/>
      <c r="I21" s="121"/>
      <c r="J21" s="121"/>
      <c r="K21" s="121"/>
      <c r="L21" s="121"/>
      <c r="M21" s="121"/>
      <c r="N21" s="121"/>
      <c r="O21" s="283"/>
      <c r="T21" s="337"/>
      <c r="U21" s="121"/>
      <c r="V21" s="121"/>
      <c r="W21" s="121"/>
      <c r="X21" s="121"/>
      <c r="Y21" s="121"/>
      <c r="Z21" s="121"/>
      <c r="AA21" s="121"/>
      <c r="AC21" s="180"/>
      <c r="AD21" s="180"/>
      <c r="AE21" s="336"/>
      <c r="AH21" s="152"/>
      <c r="AI21" s="152"/>
      <c r="AJ21" s="152"/>
      <c r="AK21" s="152"/>
      <c r="AL21" s="152"/>
      <c r="AM21" s="152"/>
      <c r="AN21" s="152"/>
      <c r="AO21" s="279"/>
      <c r="AS21" s="323"/>
      <c r="AU21" s="322"/>
    </row>
    <row r="22" spans="3:59" ht="14.25" hidden="1" customHeight="1" x14ac:dyDescent="0.3">
      <c r="C22" s="125" t="s">
        <v>798</v>
      </c>
      <c r="D22" s="21">
        <f>'YEAR 4'!D22</f>
        <v>0</v>
      </c>
      <c r="F22" s="284">
        <f>ROUND((VLOOKUP(D22,Salaries!$A$3:$I$370,8,FALSE))*(1+COLA/100)*(1+COLA/100)*(1+COLA/100)*(1+COLA/100),0)</f>
        <v>0</v>
      </c>
      <c r="H22" s="385"/>
      <c r="I22" s="306"/>
      <c r="J22" s="307"/>
      <c r="K22" s="307"/>
      <c r="L22" s="385"/>
      <c r="M22" s="305"/>
      <c r="N22" s="307"/>
      <c r="O22" s="285"/>
      <c r="P22" s="739">
        <f>ROUND(F22/12*H22*J22+F22/12*L22*N22, 0)</f>
        <v>0</v>
      </c>
      <c r="Q22" s="739"/>
      <c r="T22" s="337"/>
      <c r="U22" s="385"/>
      <c r="V22" s="306"/>
      <c r="W22" s="307"/>
      <c r="X22" s="307"/>
      <c r="Y22" s="385"/>
      <c r="Z22" s="305"/>
      <c r="AA22" s="307"/>
      <c r="AC22" s="739">
        <f>ROUND((F22/12*U22*W22)+(F22/12*Y22*AA22),0)</f>
        <v>0</v>
      </c>
      <c r="AD22" s="739"/>
      <c r="AE22" s="336"/>
      <c r="AH22" s="152">
        <f>U22+H22</f>
        <v>0</v>
      </c>
      <c r="AI22" s="152"/>
      <c r="AJ22" s="286">
        <f>W22+J22</f>
        <v>0</v>
      </c>
      <c r="AK22" s="152"/>
      <c r="AL22" s="152">
        <f>Y22+L22</f>
        <v>0</v>
      </c>
      <c r="AM22" s="152"/>
      <c r="AN22" s="286">
        <f>AA22+N22</f>
        <v>0</v>
      </c>
      <c r="AO22" s="279"/>
      <c r="AP22" s="765">
        <f>ROUND(SUM(P22:Q23)+SUM(AC22:AD23),0)</f>
        <v>0</v>
      </c>
      <c r="AQ22" s="765"/>
      <c r="AS22" s="323"/>
      <c r="AU22" s="322"/>
      <c r="AW22" s="107">
        <f>P22</f>
        <v>0</v>
      </c>
      <c r="AY22" s="107">
        <f>ROUND(AC22,0)</f>
        <v>0</v>
      </c>
      <c r="BA22" s="108">
        <f>ROUND(AY22+AW22,0)</f>
        <v>0</v>
      </c>
    </row>
    <row r="23" spans="3:59" ht="12.75" hidden="1" customHeight="1" x14ac:dyDescent="0.3">
      <c r="D23" s="106" t="str">
        <f>"Fringe @ "&amp;TEXT(FRINGE,"0.00%")</f>
        <v>Fringe @ 27.27%</v>
      </c>
      <c r="H23" s="121"/>
      <c r="I23" s="121"/>
      <c r="J23" s="121"/>
      <c r="K23" s="121"/>
      <c r="L23" s="121"/>
      <c r="M23" s="121"/>
      <c r="N23" s="121"/>
      <c r="O23" s="283"/>
      <c r="Q23" s="180">
        <f>ROUND(P22*FRINGE*(1+FrCOLA+FrCOLA+FrCOLA+FrCOLA),0)</f>
        <v>0</v>
      </c>
      <c r="T23" s="337"/>
      <c r="U23" s="121"/>
      <c r="V23" s="121"/>
      <c r="W23" s="121"/>
      <c r="X23" s="121"/>
      <c r="Y23" s="121"/>
      <c r="Z23" s="121"/>
      <c r="AA23" s="121"/>
      <c r="AC23" s="180"/>
      <c r="AD23" s="180">
        <f>ROUND(AC22*FRINGE*(1+FrCOLA+FrCOLA+FrCOLA+FrCOLA),0)</f>
        <v>0</v>
      </c>
      <c r="AE23" s="336"/>
      <c r="AH23" s="152"/>
      <c r="AI23" s="152"/>
      <c r="AJ23" s="152"/>
      <c r="AK23" s="152"/>
      <c r="AL23" s="152"/>
      <c r="AM23" s="152"/>
      <c r="AN23" s="152"/>
      <c r="AO23" s="279"/>
      <c r="AP23" s="765"/>
      <c r="AQ23" s="765"/>
      <c r="AS23" s="323"/>
      <c r="AU23" s="322"/>
      <c r="BC23" s="107">
        <f>ROUND(Q23,0)</f>
        <v>0</v>
      </c>
      <c r="BE23" s="107">
        <f>ROUND(AD23,0)</f>
        <v>0</v>
      </c>
      <c r="BG23" s="108">
        <f>ROUND(BE23+BC23,0)</f>
        <v>0</v>
      </c>
    </row>
    <row r="24" spans="3:59" ht="3" hidden="1" customHeight="1" x14ac:dyDescent="0.3">
      <c r="H24" s="106"/>
      <c r="I24" s="106"/>
      <c r="J24" s="106"/>
      <c r="K24" s="106"/>
      <c r="L24" s="121"/>
      <c r="M24" s="121"/>
      <c r="N24" s="121"/>
      <c r="O24" s="122"/>
      <c r="T24" s="337"/>
      <c r="U24" s="106"/>
      <c r="V24" s="106"/>
      <c r="W24" s="106"/>
      <c r="X24" s="106"/>
      <c r="Y24" s="121"/>
      <c r="Z24" s="121"/>
      <c r="AA24" s="121"/>
      <c r="AC24" s="180"/>
      <c r="AD24" s="180"/>
      <c r="AE24" s="336"/>
      <c r="AH24" s="279"/>
      <c r="AI24" s="279"/>
      <c r="AJ24" s="279"/>
      <c r="AK24" s="279"/>
      <c r="AL24" s="152"/>
      <c r="AM24" s="152"/>
      <c r="AN24" s="152"/>
      <c r="AO24" s="279"/>
      <c r="AS24" s="323"/>
      <c r="AU24" s="322"/>
    </row>
    <row r="25" spans="3:59" ht="14.25" hidden="1" customHeight="1" x14ac:dyDescent="0.3">
      <c r="C25" s="125" t="s">
        <v>798</v>
      </c>
      <c r="D25" s="21">
        <f>'YEAR 4'!D25</f>
        <v>0</v>
      </c>
      <c r="F25" s="284">
        <f>ROUND((VLOOKUP(D25,Salaries!$A$3:$I$370,8,FALSE))*(1+COLA/100)*(1+COLA/100)*(1+COLA/100)*(1+COLA/100),0)</f>
        <v>0</v>
      </c>
      <c r="H25" s="385"/>
      <c r="I25" s="306"/>
      <c r="J25" s="307"/>
      <c r="K25" s="307"/>
      <c r="L25" s="385"/>
      <c r="M25" s="305"/>
      <c r="N25" s="307"/>
      <c r="O25" s="285"/>
      <c r="P25" s="739">
        <f>ROUND(F25/12*H25*J25+F25/12*L25*N25, 0)</f>
        <v>0</v>
      </c>
      <c r="Q25" s="739"/>
      <c r="T25" s="337"/>
      <c r="U25" s="385"/>
      <c r="V25" s="306"/>
      <c r="W25" s="307"/>
      <c r="X25" s="307"/>
      <c r="Y25" s="385"/>
      <c r="Z25" s="305"/>
      <c r="AA25" s="307"/>
      <c r="AC25" s="739">
        <f>ROUND((VLOOKUP($D25,Salaries!$A$3:$I$370,9,FALSE)*U25*W25*(1+COLA/100)*(1+COLA/100)*(1+COLA/100)*(1+COLA/100))+(VLOOKUP($D25,Salaries!$A$3:$I$370,9,FALSE)*Y25*AA25*(1+COLA/100)*(1+COLA/100)*(1+COLA/100)*(1+COLA/100)),0)</f>
        <v>0</v>
      </c>
      <c r="AD25" s="739"/>
      <c r="AE25" s="336"/>
      <c r="AH25" s="152">
        <f>U25+H25</f>
        <v>0</v>
      </c>
      <c r="AI25" s="152"/>
      <c r="AJ25" s="286">
        <f>W25+J25</f>
        <v>0</v>
      </c>
      <c r="AK25" s="152"/>
      <c r="AL25" s="152">
        <f>Y25+L25</f>
        <v>0</v>
      </c>
      <c r="AM25" s="152"/>
      <c r="AN25" s="286">
        <f>AA25+N25</f>
        <v>0</v>
      </c>
      <c r="AO25" s="279"/>
      <c r="AP25" s="765">
        <f>ROUND(SUM(P25:Q26)+SUM(AC25:AD26),0)</f>
        <v>0</v>
      </c>
      <c r="AQ25" s="765"/>
      <c r="AS25" s="323"/>
      <c r="AU25" s="322"/>
      <c r="AW25" s="107">
        <f>P25</f>
        <v>0</v>
      </c>
      <c r="AY25" s="107">
        <f>ROUND(AC25,0)</f>
        <v>0</v>
      </c>
      <c r="BA25" s="108">
        <f>ROUND(AY25+AW25,0)</f>
        <v>0</v>
      </c>
    </row>
    <row r="26" spans="3:59" ht="12.75" hidden="1" customHeight="1" x14ac:dyDescent="0.3">
      <c r="D26" s="106" t="str">
        <f>"Fringe @ "&amp;TEXT(FRINGE,"0.00%")</f>
        <v>Fringe @ 27.27%</v>
      </c>
      <c r="H26" s="121"/>
      <c r="I26" s="121"/>
      <c r="J26" s="121"/>
      <c r="K26" s="121"/>
      <c r="L26" s="121"/>
      <c r="M26" s="121"/>
      <c r="N26" s="121"/>
      <c r="O26" s="283"/>
      <c r="Q26" s="180">
        <f>ROUND(P25*FRINGE*(1+FrCOLA+FrCOLA+FrCOLA+FrCOLA),0)</f>
        <v>0</v>
      </c>
      <c r="T26" s="337"/>
      <c r="U26" s="121"/>
      <c r="V26" s="121"/>
      <c r="W26" s="121"/>
      <c r="X26" s="121"/>
      <c r="Y26" s="121"/>
      <c r="Z26" s="121"/>
      <c r="AA26" s="121"/>
      <c r="AC26" s="180"/>
      <c r="AD26" s="180">
        <f>ROUND(AC25*FRINGE*(1+FrCOLA+FrCOLA+FrCOLA+FrCOLA),0)</f>
        <v>0</v>
      </c>
      <c r="AE26" s="336"/>
      <c r="AH26" s="152"/>
      <c r="AI26" s="152"/>
      <c r="AJ26" s="152"/>
      <c r="AK26" s="152"/>
      <c r="AL26" s="152"/>
      <c r="AM26" s="152"/>
      <c r="AN26" s="152"/>
      <c r="AO26" s="279"/>
      <c r="AP26" s="765"/>
      <c r="AQ26" s="765"/>
      <c r="AS26" s="323"/>
      <c r="AU26" s="322"/>
      <c r="BC26" s="107">
        <f>ROUND(Q26,0)</f>
        <v>0</v>
      </c>
      <c r="BE26" s="107">
        <f>ROUND(AD26,0)</f>
        <v>0</v>
      </c>
      <c r="BG26" s="108">
        <f>ROUND(BE26+BC26,0)</f>
        <v>0</v>
      </c>
    </row>
    <row r="27" spans="3:59" ht="3" hidden="1" customHeight="1" x14ac:dyDescent="0.3">
      <c r="H27" s="106"/>
      <c r="I27" s="106"/>
      <c r="J27" s="106"/>
      <c r="K27" s="106"/>
      <c r="L27" s="121"/>
      <c r="M27" s="121"/>
      <c r="N27" s="121"/>
      <c r="O27" s="122"/>
      <c r="T27" s="337"/>
      <c r="U27" s="121"/>
      <c r="V27" s="121"/>
      <c r="W27" s="121"/>
      <c r="X27" s="121"/>
      <c r="Y27" s="121"/>
      <c r="Z27" s="121"/>
      <c r="AA27" s="121"/>
      <c r="AC27" s="180"/>
      <c r="AD27" s="180"/>
      <c r="AE27" s="336"/>
      <c r="AH27" s="152"/>
      <c r="AI27" s="152"/>
      <c r="AJ27" s="152"/>
      <c r="AK27" s="152"/>
      <c r="AL27" s="152"/>
      <c r="AM27" s="152"/>
      <c r="AN27" s="152"/>
      <c r="AO27" s="279"/>
      <c r="AP27" s="608"/>
      <c r="AQ27" s="608"/>
      <c r="AS27" s="323"/>
      <c r="AU27" s="322"/>
      <c r="BE27" s="107"/>
      <c r="BG27" s="108"/>
    </row>
    <row r="28" spans="3:59" ht="14.25" hidden="1" customHeight="1" x14ac:dyDescent="0.3">
      <c r="D28" s="21">
        <f>'YEAR 4'!D28</f>
        <v>0</v>
      </c>
      <c r="F28" s="284">
        <f>ROUND((VLOOKUP(D28,Salaries!$A$3:$I$370,8,FALSE))*(1+COLA/100)*(1+COLA/100)*(1+COLA/100)*(1+COLA/100),0)</f>
        <v>0</v>
      </c>
      <c r="H28" s="385"/>
      <c r="I28" s="306"/>
      <c r="J28" s="307"/>
      <c r="K28" s="307"/>
      <c r="L28" s="385"/>
      <c r="M28" s="305"/>
      <c r="N28" s="307"/>
      <c r="O28" s="285"/>
      <c r="P28" s="739">
        <f>ROUND((VLOOKUP($D28,Salaries!$A$3:$I$370,9,FALSE)*H28*J28*(1+COLA/100)*(1+COLA/100)*(1+COLA/100)*(1+COLA/100))+(VLOOKUP($D28,Salaries!$A$3:$I$370,9,FALSE)*L28*N28*(1+COLA/100)*(1+COLA/100)*(1+COLA/100)*(1+COLA/100)),0)</f>
        <v>0</v>
      </c>
      <c r="Q28" s="739"/>
      <c r="T28" s="337"/>
      <c r="U28" s="385"/>
      <c r="V28" s="121"/>
      <c r="W28" s="121"/>
      <c r="X28" s="121"/>
      <c r="Y28" s="385"/>
      <c r="Z28" s="121"/>
      <c r="AA28" s="307"/>
      <c r="AC28" s="739">
        <f>ROUND((VLOOKUP($D28,Salaries!$A$3:$I$370,9,FALSE)*U28*W28*(1+COLA/100)*(1+COLA/100)*(1+COLA/100)*(1+COLA/100))+(VLOOKUP($D28,Salaries!$A$3:$I$370,9,FALSE)*Y28*AA28*(1+COLA/100)*(1+COLA/100)*(1+COLA/100)*(1+COLA/100)),0)</f>
        <v>0</v>
      </c>
      <c r="AD28" s="739"/>
      <c r="AE28" s="336"/>
      <c r="AH28" s="152">
        <f>U28+H28</f>
        <v>0</v>
      </c>
      <c r="AI28" s="152"/>
      <c r="AJ28" s="286">
        <f>W28+J28</f>
        <v>0</v>
      </c>
      <c r="AK28" s="152"/>
      <c r="AL28" s="152">
        <f>Y28+L28</f>
        <v>0</v>
      </c>
      <c r="AM28" s="152"/>
      <c r="AN28" s="286">
        <f>AA28+N28</f>
        <v>0</v>
      </c>
      <c r="AO28" s="279"/>
      <c r="AP28" s="765">
        <f>ROUND(SUM(P28:Q29)+SUM(AC28:AD29),0)</f>
        <v>0</v>
      </c>
      <c r="AQ28" s="765"/>
      <c r="AS28" s="323"/>
      <c r="AU28" s="322"/>
      <c r="BE28" s="107"/>
      <c r="BG28" s="108"/>
    </row>
    <row r="29" spans="3:59" ht="12.75" hidden="1" customHeight="1" x14ac:dyDescent="0.3">
      <c r="D29" s="106" t="str">
        <f>"Fringe @ "&amp;TEXT(FRINGE,"0.00%")</f>
        <v>Fringe @ 27.27%</v>
      </c>
      <c r="H29" s="121"/>
      <c r="I29" s="121"/>
      <c r="J29" s="121"/>
      <c r="K29" s="121"/>
      <c r="L29" s="121"/>
      <c r="M29" s="121"/>
      <c r="N29" s="121"/>
      <c r="O29" s="283"/>
      <c r="Q29" s="180">
        <f>ROUND(P28*FRINGE*(1+FrCOLA+FrCOLA+FrCOLA+FrCOLA),0)</f>
        <v>0</v>
      </c>
      <c r="T29" s="337"/>
      <c r="U29" s="121"/>
      <c r="V29" s="121"/>
      <c r="W29" s="121"/>
      <c r="X29" s="121"/>
      <c r="Y29" s="121"/>
      <c r="Z29" s="121"/>
      <c r="AA29" s="121"/>
      <c r="AC29" s="180"/>
      <c r="AD29" s="180">
        <f>ROUND(AC28*FRINGE*(1+FrCOLA+FrCOLA+FrCOLA+FrCOLA),0)</f>
        <v>0</v>
      </c>
      <c r="AE29" s="336"/>
      <c r="AH29" s="152"/>
      <c r="AI29" s="152"/>
      <c r="AJ29" s="152"/>
      <c r="AK29" s="152"/>
      <c r="AL29" s="152"/>
      <c r="AM29" s="152"/>
      <c r="AN29" s="152"/>
      <c r="AO29" s="279"/>
      <c r="AP29" s="765"/>
      <c r="AQ29" s="765"/>
      <c r="AS29" s="323"/>
      <c r="AU29" s="322"/>
      <c r="BE29" s="107"/>
      <c r="BG29" s="108"/>
    </row>
    <row r="30" spans="3:59" ht="3" hidden="1" customHeight="1" x14ac:dyDescent="0.3">
      <c r="H30" s="106"/>
      <c r="I30" s="106"/>
      <c r="J30" s="106"/>
      <c r="K30" s="106"/>
      <c r="L30" s="121"/>
      <c r="M30" s="121"/>
      <c r="N30" s="121"/>
      <c r="O30" s="122"/>
      <c r="T30" s="337"/>
      <c r="U30" s="121"/>
      <c r="V30" s="121"/>
      <c r="W30" s="121"/>
      <c r="X30" s="121"/>
      <c r="Y30" s="121"/>
      <c r="Z30" s="121"/>
      <c r="AA30" s="121"/>
      <c r="AC30" s="180"/>
      <c r="AD30" s="180"/>
      <c r="AE30" s="336"/>
      <c r="AH30" s="152"/>
      <c r="AI30" s="152"/>
      <c r="AJ30" s="152"/>
      <c r="AK30" s="152"/>
      <c r="AL30" s="152"/>
      <c r="AM30" s="152"/>
      <c r="AN30" s="152"/>
      <c r="AO30" s="279"/>
      <c r="AP30" s="608"/>
      <c r="AQ30" s="608"/>
      <c r="AS30" s="323"/>
      <c r="AU30" s="322"/>
      <c r="BE30" s="107"/>
      <c r="BG30" s="108"/>
    </row>
    <row r="31" spans="3:59" ht="14.25" hidden="1" customHeight="1" x14ac:dyDescent="0.3">
      <c r="D31" s="21">
        <f>'YEAR 4'!D31</f>
        <v>0</v>
      </c>
      <c r="F31" s="284">
        <f>ROUND((VLOOKUP(D31,Salaries!$A$3:$I$370,8,FALSE))*(1+COLA/100)*(1+COLA/100)*(1+COLA/100)*(1+COLA/100),0)</f>
        <v>0</v>
      </c>
      <c r="H31" s="385"/>
      <c r="I31" s="306"/>
      <c r="J31" s="307"/>
      <c r="K31" s="307"/>
      <c r="L31" s="385"/>
      <c r="M31" s="305"/>
      <c r="N31" s="307"/>
      <c r="O31" s="285"/>
      <c r="P31" s="739">
        <f>ROUND((VLOOKUP($D31,Salaries!$A$3:$I$370,9,FALSE)*H31*J31*(1+COLA/100)*(1+COLA/100)*(1+COLA/100)*(1+COLA/100))+(VLOOKUP($D31,Salaries!$A$3:$I$370,9,FALSE)*L31*N31*(1+COLA/100)*(1+COLA/100)*(1+COLA/100)*(1+COLA/100)),0)</f>
        <v>0</v>
      </c>
      <c r="Q31" s="739"/>
      <c r="T31" s="337"/>
      <c r="U31" s="385"/>
      <c r="V31" s="121"/>
      <c r="W31" s="121"/>
      <c r="X31" s="121"/>
      <c r="Y31" s="385"/>
      <c r="Z31" s="121"/>
      <c r="AA31" s="307"/>
      <c r="AC31" s="739">
        <f>ROUND((VLOOKUP($D31,Salaries!$A$3:$I$370,9,FALSE)*U31*W31*(1+COLA/100)*(1+COLA/100)*(1+COLA/100)*(1+COLA/100))+(VLOOKUP($D31,Salaries!$A$3:$I$370,9,FALSE)*Y31*AA31*(1+COLA/100)*(1+COLA/100)*(1+COLA/100)*(1+COLA/100)),0)</f>
        <v>0</v>
      </c>
      <c r="AD31" s="739"/>
      <c r="AE31" s="336"/>
      <c r="AH31" s="152">
        <f>U31+H31</f>
        <v>0</v>
      </c>
      <c r="AI31" s="152"/>
      <c r="AJ31" s="286">
        <f>W31+J31</f>
        <v>0</v>
      </c>
      <c r="AK31" s="152"/>
      <c r="AL31" s="152">
        <f>Y31+L31</f>
        <v>0</v>
      </c>
      <c r="AM31" s="152"/>
      <c r="AN31" s="286">
        <f>AA31+N31</f>
        <v>0</v>
      </c>
      <c r="AO31" s="279"/>
      <c r="AP31" s="765">
        <f>ROUND(SUM(P31:Q32)+SUM(AC31:AD32),0)</f>
        <v>0</v>
      </c>
      <c r="AQ31" s="765"/>
      <c r="AS31" s="323"/>
      <c r="AU31" s="322"/>
      <c r="BE31" s="107"/>
      <c r="BG31" s="108"/>
    </row>
    <row r="32" spans="3:59" ht="12.75" hidden="1" customHeight="1" x14ac:dyDescent="0.3">
      <c r="D32" s="106" t="str">
        <f>"Fringe @ "&amp;TEXT(FRINGE,"0.00%")</f>
        <v>Fringe @ 27.27%</v>
      </c>
      <c r="H32" s="121"/>
      <c r="I32" s="121"/>
      <c r="J32" s="121"/>
      <c r="K32" s="121"/>
      <c r="L32" s="121"/>
      <c r="M32" s="121"/>
      <c r="N32" s="121"/>
      <c r="O32" s="283"/>
      <c r="Q32" s="180">
        <f>ROUND(P31*FRINGE*(1+FrCOLA+FrCOLA+FrCOLA+FrCOLA),0)</f>
        <v>0</v>
      </c>
      <c r="T32" s="337"/>
      <c r="U32" s="121"/>
      <c r="V32" s="121"/>
      <c r="W32" s="121"/>
      <c r="X32" s="121"/>
      <c r="Y32" s="121"/>
      <c r="Z32" s="121"/>
      <c r="AA32" s="121"/>
      <c r="AC32" s="180"/>
      <c r="AD32" s="180">
        <f>ROUND(AC31*FRINGE*(1+FrCOLA+FrCOLA+FrCOLA+FrCOLA),0)</f>
        <v>0</v>
      </c>
      <c r="AE32" s="336"/>
      <c r="AH32" s="152"/>
      <c r="AI32" s="152"/>
      <c r="AJ32" s="152"/>
      <c r="AK32" s="152"/>
      <c r="AL32" s="152"/>
      <c r="AM32" s="152"/>
      <c r="AN32" s="152"/>
      <c r="AO32" s="279"/>
      <c r="AP32" s="765"/>
      <c r="AQ32" s="765"/>
      <c r="AS32" s="323"/>
      <c r="AU32" s="322"/>
      <c r="BE32" s="107"/>
      <c r="BG32" s="108"/>
    </row>
    <row r="33" spans="1:59" ht="3" hidden="1" customHeight="1" x14ac:dyDescent="0.3">
      <c r="H33" s="106"/>
      <c r="I33" s="106"/>
      <c r="J33" s="106"/>
      <c r="K33" s="106"/>
      <c r="L33" s="121"/>
      <c r="M33" s="121"/>
      <c r="N33" s="121"/>
      <c r="O33" s="122"/>
      <c r="T33" s="337"/>
      <c r="U33" s="121"/>
      <c r="V33" s="121"/>
      <c r="W33" s="121"/>
      <c r="X33" s="121"/>
      <c r="Y33" s="121"/>
      <c r="Z33" s="121"/>
      <c r="AA33" s="121"/>
      <c r="AC33" s="180"/>
      <c r="AD33" s="180"/>
      <c r="AE33" s="336"/>
      <c r="AH33" s="152"/>
      <c r="AI33" s="152"/>
      <c r="AJ33" s="152"/>
      <c r="AK33" s="152"/>
      <c r="AL33" s="152"/>
      <c r="AM33" s="152"/>
      <c r="AN33" s="152"/>
      <c r="AO33" s="279"/>
      <c r="AP33" s="608"/>
      <c r="AQ33" s="608"/>
      <c r="AS33" s="323"/>
      <c r="AU33" s="322"/>
      <c r="BE33" s="107"/>
      <c r="BG33" s="108"/>
    </row>
    <row r="34" spans="1:59" ht="14.25" hidden="1" customHeight="1" x14ac:dyDescent="0.3">
      <c r="D34" s="21">
        <f>'YEAR 4'!D34</f>
        <v>0</v>
      </c>
      <c r="F34" s="284">
        <f>ROUND((VLOOKUP(D34,Salaries!$A$3:$I$370,8,FALSE))*(1+COLA/100)*(1+COLA/100)*(1+COLA/100)*(1+COLA/100),0)</f>
        <v>0</v>
      </c>
      <c r="H34" s="385"/>
      <c r="I34" s="306"/>
      <c r="J34" s="307"/>
      <c r="K34" s="307"/>
      <c r="L34" s="385"/>
      <c r="M34" s="305"/>
      <c r="N34" s="307"/>
      <c r="O34" s="285"/>
      <c r="P34" s="739">
        <f>ROUND((VLOOKUP($D34,Salaries!$A$3:$I$370,9,FALSE)*H34*J34*(1+COLA/100)*(1+COLA/100)*(1+COLA/100)*(1+COLA/100))+(VLOOKUP($D34,Salaries!$A$3:$I$370,9,FALSE)*L34*N34*(1+COLA/100)*(1+COLA/100)*(1+COLA/100)*(1+COLA/100)),0)</f>
        <v>0</v>
      </c>
      <c r="Q34" s="739"/>
      <c r="T34" s="337"/>
      <c r="U34" s="385"/>
      <c r="V34" s="121"/>
      <c r="W34" s="121"/>
      <c r="X34" s="121"/>
      <c r="Y34" s="385"/>
      <c r="Z34" s="121"/>
      <c r="AA34" s="307"/>
      <c r="AC34" s="739">
        <f>ROUND((VLOOKUP($D34,Salaries!$A$3:$I$370,9,FALSE)*U34*W34*(1+COLA/100)*(1+COLA/100)*(1+COLA/100)*(1+COLA/100))+(VLOOKUP($D34,Salaries!$A$3:$I$370,9,FALSE)*Y34*AA34*(1+COLA/100)*(1+COLA/100)*(1+COLA/100)*(1+COLA/100)),0)</f>
        <v>0</v>
      </c>
      <c r="AD34" s="739"/>
      <c r="AE34" s="336"/>
      <c r="AH34" s="152">
        <f>U34+H34</f>
        <v>0</v>
      </c>
      <c r="AI34" s="152"/>
      <c r="AJ34" s="286">
        <f>W34+J34</f>
        <v>0</v>
      </c>
      <c r="AK34" s="152"/>
      <c r="AL34" s="152">
        <f>Y34+L34</f>
        <v>0</v>
      </c>
      <c r="AM34" s="152"/>
      <c r="AN34" s="286">
        <f>AA34+N34</f>
        <v>0</v>
      </c>
      <c r="AO34" s="279"/>
      <c r="AP34" s="765">
        <f>ROUND(SUM(P34:Q35)+SUM(AC34:AD35),0)</f>
        <v>0</v>
      </c>
      <c r="AQ34" s="765"/>
      <c r="AS34" s="323"/>
      <c r="AU34" s="322"/>
      <c r="BE34" s="107"/>
      <c r="BG34" s="108"/>
    </row>
    <row r="35" spans="1:59" ht="12.75" hidden="1" customHeight="1" x14ac:dyDescent="0.3">
      <c r="D35" s="106" t="str">
        <f>"Fringe @ "&amp;TEXT(FRINGE,"0.00%")</f>
        <v>Fringe @ 27.27%</v>
      </c>
      <c r="H35" s="121"/>
      <c r="I35" s="121"/>
      <c r="J35" s="121"/>
      <c r="K35" s="121"/>
      <c r="L35" s="121"/>
      <c r="M35" s="121"/>
      <c r="N35" s="121"/>
      <c r="O35" s="283"/>
      <c r="Q35" s="180">
        <f>ROUND(P34*FRINGE*(1+FrCOLA+FrCOLA+FrCOLA+FrCOLA),0)</f>
        <v>0</v>
      </c>
      <c r="T35" s="337"/>
      <c r="U35" s="121"/>
      <c r="V35" s="121"/>
      <c r="W35" s="121"/>
      <c r="X35" s="121"/>
      <c r="Y35" s="121"/>
      <c r="Z35" s="121"/>
      <c r="AA35" s="121"/>
      <c r="AC35" s="180"/>
      <c r="AD35" s="180">
        <f>ROUND(AC34*FRINGE*(1+FrCOLA+FrCOLA+FrCOLA+FrCOLA),0)</f>
        <v>0</v>
      </c>
      <c r="AE35" s="336"/>
      <c r="AH35" s="152"/>
      <c r="AI35" s="152"/>
      <c r="AJ35" s="152"/>
      <c r="AK35" s="152"/>
      <c r="AL35" s="152"/>
      <c r="AM35" s="152"/>
      <c r="AN35" s="152"/>
      <c r="AO35" s="279"/>
      <c r="AP35" s="765"/>
      <c r="AQ35" s="765"/>
      <c r="AS35" s="323"/>
      <c r="AU35" s="322"/>
      <c r="BE35" s="107"/>
      <c r="BG35" s="108"/>
    </row>
    <row r="36" spans="1:59" ht="3" hidden="1" customHeight="1" x14ac:dyDescent="0.3">
      <c r="D36" s="115"/>
      <c r="E36" s="115"/>
      <c r="H36" s="106"/>
      <c r="I36" s="106"/>
      <c r="J36" s="106"/>
      <c r="K36" s="106"/>
      <c r="L36" s="106"/>
      <c r="M36" s="106"/>
      <c r="N36" s="106"/>
      <c r="T36" s="337"/>
      <c r="U36" s="106"/>
      <c r="V36" s="106"/>
      <c r="W36" s="106"/>
      <c r="X36" s="106"/>
      <c r="Y36" s="106"/>
      <c r="Z36" s="106"/>
      <c r="AA36" s="106"/>
      <c r="AC36" s="180"/>
      <c r="AD36" s="180"/>
      <c r="AE36" s="336"/>
      <c r="AH36" s="279"/>
      <c r="AI36" s="279"/>
      <c r="AJ36" s="279"/>
      <c r="AK36" s="279"/>
      <c r="AL36" s="279"/>
      <c r="AM36" s="279"/>
      <c r="AN36" s="279"/>
      <c r="AO36" s="279"/>
      <c r="AS36" s="323"/>
      <c r="AU36" s="322"/>
    </row>
    <row r="37" spans="1:59" ht="14.25" hidden="1" customHeight="1" x14ac:dyDescent="0.3">
      <c r="D37" s="21">
        <f>'YEAR 4'!D37</f>
        <v>0</v>
      </c>
      <c r="F37" s="284">
        <f>ROUND((VLOOKUP(D37,Salaries!$A$3:$I$370,8,FALSE))*(1+COLA/100)*(1+COLA/100)*(1+COLA/100)*(1+COLA/100),0)</f>
        <v>0</v>
      </c>
      <c r="H37" s="385"/>
      <c r="I37" s="306"/>
      <c r="J37" s="307"/>
      <c r="K37" s="307"/>
      <c r="L37" s="385"/>
      <c r="M37" s="305"/>
      <c r="N37" s="307"/>
      <c r="O37" s="285"/>
      <c r="P37" s="739">
        <f>ROUND((VLOOKUP($D37,Salaries!$A$3:$I$370,9,FALSE)*H37*J37*(1+COLA/100)*(1+COLA/100)*(1+COLA/100)*(1+COLA/100))+(VLOOKUP($D37,Salaries!$A$3:$I$370,9,FALSE)*L37*N37*(1+COLA/100)*(1+COLA/100)*(1+COLA/100)*(1+COLA/100)),0)</f>
        <v>0</v>
      </c>
      <c r="Q37" s="739"/>
      <c r="T37" s="337"/>
      <c r="U37" s="385"/>
      <c r="V37" s="306"/>
      <c r="W37" s="307"/>
      <c r="X37" s="307"/>
      <c r="Y37" s="385"/>
      <c r="Z37" s="305"/>
      <c r="AA37" s="307"/>
      <c r="AC37" s="739">
        <f>ROUND((VLOOKUP($D37,Salaries!$A$3:$I$370,9,FALSE)*U37*W37*(1+COLA/100)*(1+COLA/100)*(1+COLA/100)*(1+COLA/100))+(VLOOKUP($D37,Salaries!$A$3:$I$370,9,FALSE)*Y37*AA37*(1+COLA/100)*(1+COLA/100)*(1+COLA/100)*(1+COLA/100)),0)</f>
        <v>0</v>
      </c>
      <c r="AD37" s="739"/>
      <c r="AE37" s="336"/>
      <c r="AH37" s="152">
        <f>U37+H37</f>
        <v>0</v>
      </c>
      <c r="AI37" s="152"/>
      <c r="AJ37" s="286">
        <f>W37+J37</f>
        <v>0</v>
      </c>
      <c r="AK37" s="152"/>
      <c r="AL37" s="152">
        <f>Y37+L37</f>
        <v>0</v>
      </c>
      <c r="AM37" s="152"/>
      <c r="AN37" s="286">
        <f>AA37+N37</f>
        <v>0</v>
      </c>
      <c r="AO37" s="279"/>
      <c r="AP37" s="765">
        <f>ROUND(SUM(P37:Q38)+SUM(AC37:AD38),0)</f>
        <v>0</v>
      </c>
      <c r="AQ37" s="765"/>
      <c r="AS37" s="323"/>
      <c r="AU37" s="322"/>
      <c r="AW37" s="107">
        <f>P37</f>
        <v>0</v>
      </c>
      <c r="AY37" s="107">
        <f>ROUND(AC37,0)</f>
        <v>0</v>
      </c>
      <c r="BA37" s="108">
        <f>ROUND(AY37+AW37,0)</f>
        <v>0</v>
      </c>
    </row>
    <row r="38" spans="1:59" ht="12.75" hidden="1" customHeight="1" x14ac:dyDescent="0.3">
      <c r="D38" s="106" t="str">
        <f>"Fringe @ "&amp;TEXT(FRINGE,"0.00%")</f>
        <v>Fringe @ 27.27%</v>
      </c>
      <c r="H38" s="121"/>
      <c r="I38" s="121"/>
      <c r="J38" s="121"/>
      <c r="K38" s="121"/>
      <c r="L38" s="121"/>
      <c r="M38" s="121"/>
      <c r="N38" s="121"/>
      <c r="O38" s="283"/>
      <c r="Q38" s="180">
        <f>ROUND(P37*FRINGE*(1+FrCOLA+FrCOLA+FrCOLA+FrCOLA),0)</f>
        <v>0</v>
      </c>
      <c r="T38" s="337"/>
      <c r="U38" s="121"/>
      <c r="V38" s="121"/>
      <c r="W38" s="121"/>
      <c r="X38" s="121"/>
      <c r="Y38" s="121"/>
      <c r="Z38" s="121"/>
      <c r="AA38" s="121"/>
      <c r="AC38" s="180"/>
      <c r="AD38" s="180">
        <f>ROUND(AC37*FRINGE*(1+FrCOLA+FrCOLA+FrCOLA+FrCOLA),0)</f>
        <v>0</v>
      </c>
      <c r="AE38" s="336"/>
      <c r="AH38" s="152"/>
      <c r="AI38" s="152"/>
      <c r="AJ38" s="152"/>
      <c r="AK38" s="152"/>
      <c r="AL38" s="152"/>
      <c r="AM38" s="152"/>
      <c r="AN38" s="152"/>
      <c r="AO38" s="279"/>
      <c r="AP38" s="765"/>
      <c r="AQ38" s="765"/>
      <c r="AS38" s="323"/>
      <c r="AU38" s="322"/>
      <c r="BC38" s="107">
        <f>ROUND(Q38,0)</f>
        <v>0</v>
      </c>
      <c r="BE38" s="107">
        <f>ROUND(AD38,0)</f>
        <v>0</v>
      </c>
      <c r="BG38" s="108">
        <f>ROUND(BE38+BC38,0)</f>
        <v>0</v>
      </c>
    </row>
    <row r="39" spans="1:59" ht="3" hidden="1" customHeight="1" x14ac:dyDescent="0.3">
      <c r="D39" s="115"/>
      <c r="E39" s="115"/>
      <c r="H39" s="106"/>
      <c r="I39" s="106"/>
      <c r="J39" s="106"/>
      <c r="K39" s="106"/>
      <c r="L39" s="123"/>
      <c r="M39" s="123"/>
      <c r="N39" s="123"/>
      <c r="O39" s="124"/>
      <c r="T39" s="337"/>
      <c r="U39" s="106"/>
      <c r="V39" s="106"/>
      <c r="W39" s="106"/>
      <c r="X39" s="106"/>
      <c r="Y39" s="123"/>
      <c r="Z39" s="123"/>
      <c r="AA39" s="123"/>
      <c r="AC39" s="180"/>
      <c r="AD39" s="180"/>
      <c r="AE39" s="336"/>
      <c r="AH39" s="279"/>
      <c r="AI39" s="279"/>
      <c r="AJ39" s="279"/>
      <c r="AK39" s="279"/>
      <c r="AL39" s="287"/>
      <c r="AM39" s="287"/>
      <c r="AN39" s="287"/>
      <c r="AO39" s="279"/>
      <c r="AS39" s="323"/>
      <c r="AU39" s="322"/>
    </row>
    <row r="40" spans="1:59" ht="14.25" hidden="1" customHeight="1" x14ac:dyDescent="0.3">
      <c r="D40" s="21">
        <f>'YEAR 4'!D40</f>
        <v>0</v>
      </c>
      <c r="F40" s="284">
        <f>ROUND((VLOOKUP(D40,Salaries!$A$3:$I$370,8,FALSE))*(1+COLA/100)*(1+COLA/100)*(1+COLA/100)*(1+COLA/100),0)</f>
        <v>0</v>
      </c>
      <c r="H40" s="385"/>
      <c r="I40" s="306"/>
      <c r="J40" s="307"/>
      <c r="K40" s="307"/>
      <c r="L40" s="385"/>
      <c r="M40" s="305"/>
      <c r="N40" s="307"/>
      <c r="O40" s="285"/>
      <c r="P40" s="739">
        <f>ROUND((VLOOKUP($D40,Salaries!$A$3:$I$370,9,FALSE)*H40*J40*(1+COLA/100)*(1+COLA/100)*(1+COLA/100)*(1+COLA/100))+(VLOOKUP($D40,Salaries!$A$3:$I$370,9,FALSE)*L40*N40*(1+COLA/100)*(1+COLA/100)*(1+COLA/100)*(1+COLA/100)),0)</f>
        <v>0</v>
      </c>
      <c r="Q40" s="739"/>
      <c r="T40" s="337"/>
      <c r="U40" s="385"/>
      <c r="V40" s="306"/>
      <c r="W40" s="307"/>
      <c r="X40" s="307"/>
      <c r="Y40" s="385"/>
      <c r="Z40" s="305"/>
      <c r="AA40" s="307"/>
      <c r="AC40" s="739">
        <f>ROUND((VLOOKUP($D40,Salaries!$A$3:$I$370,9,FALSE)*U40*W40*(1+COLA/100)*(1+COLA/100)*(1+COLA/100)*(1+COLA/100))+(VLOOKUP($D40,Salaries!$A$3:$I$370,9,FALSE)*Y40*AA40*(1+COLA/100)*(1+COLA/100)*(1+COLA/100)*(1+COLA/100)),0)</f>
        <v>0</v>
      </c>
      <c r="AD40" s="739"/>
      <c r="AE40" s="336"/>
      <c r="AH40" s="152">
        <f>U40+H40</f>
        <v>0</v>
      </c>
      <c r="AI40" s="152"/>
      <c r="AJ40" s="286">
        <f>W40+J40</f>
        <v>0</v>
      </c>
      <c r="AK40" s="152"/>
      <c r="AL40" s="152">
        <f>Y40+L40</f>
        <v>0</v>
      </c>
      <c r="AM40" s="152"/>
      <c r="AN40" s="286">
        <f>AA40+N40</f>
        <v>0</v>
      </c>
      <c r="AO40" s="279"/>
      <c r="AP40" s="765">
        <f>ROUND(SUM(P40:Q41)+SUM(AC40:AD41),0)</f>
        <v>0</v>
      </c>
      <c r="AQ40" s="765"/>
      <c r="AS40" s="519"/>
      <c r="AU40" s="322"/>
      <c r="AW40" s="107">
        <f>P40</f>
        <v>0</v>
      </c>
      <c r="AY40" s="107">
        <f>ROUND(AC40,0)</f>
        <v>0</v>
      </c>
      <c r="BA40" s="108">
        <f>ROUND(AY40+AW40,0)</f>
        <v>0</v>
      </c>
    </row>
    <row r="41" spans="1:59" ht="12.75" hidden="1" customHeight="1" x14ac:dyDescent="0.3">
      <c r="D41" s="106" t="str">
        <f>"Fringe @ "&amp;TEXT(FRINGE,"0.00%")</f>
        <v>Fringe @ 27.27%</v>
      </c>
      <c r="H41" s="122"/>
      <c r="I41" s="122"/>
      <c r="J41" s="122"/>
      <c r="K41" s="122"/>
      <c r="L41" s="122"/>
      <c r="M41" s="122"/>
      <c r="N41" s="122"/>
      <c r="O41" s="283"/>
      <c r="Q41" s="180">
        <f>ROUND(P40*FRINGE*(1+FrCOLA+FrCOLA+FrCOLA+FrCOLA),0)</f>
        <v>0</v>
      </c>
      <c r="T41" s="337"/>
      <c r="U41" s="122"/>
      <c r="V41" s="122"/>
      <c r="W41" s="122"/>
      <c r="X41" s="122"/>
      <c r="Y41" s="122"/>
      <c r="Z41" s="122"/>
      <c r="AA41" s="122"/>
      <c r="AC41" s="180"/>
      <c r="AD41" s="180">
        <f>ROUND(AC40*FRINGE*(1+FrCOLA+FrCOLA+FrCOLA+FrCOLA),0)</f>
        <v>0</v>
      </c>
      <c r="AE41" s="336"/>
      <c r="AH41" s="152"/>
      <c r="AI41" s="152"/>
      <c r="AJ41" s="152"/>
      <c r="AK41" s="152"/>
      <c r="AL41" s="152"/>
      <c r="AM41" s="152"/>
      <c r="AN41" s="152"/>
      <c r="AO41" s="279"/>
      <c r="AP41" s="765"/>
      <c r="AQ41" s="765"/>
      <c r="AS41" s="323"/>
      <c r="AU41" s="322"/>
      <c r="BC41" s="107">
        <f>ROUND(Q41,0)</f>
        <v>0</v>
      </c>
      <c r="BE41" s="107">
        <f>ROUND(AD41,0)</f>
        <v>0</v>
      </c>
      <c r="BG41" s="108">
        <f>ROUND(BE41+BC41,0)</f>
        <v>0</v>
      </c>
    </row>
    <row r="42" spans="1:59" ht="3" hidden="1" customHeight="1" x14ac:dyDescent="0.3">
      <c r="B42" s="772"/>
      <c r="C42" s="772"/>
      <c r="D42" s="772"/>
      <c r="E42" s="772"/>
      <c r="F42" s="772"/>
      <c r="G42" s="772"/>
      <c r="H42" s="772"/>
      <c r="I42" s="772"/>
      <c r="J42" s="772"/>
      <c r="K42" s="772"/>
      <c r="L42" s="772"/>
      <c r="M42" s="135"/>
      <c r="N42" s="135"/>
      <c r="O42" s="135"/>
      <c r="P42" s="763"/>
      <c r="Q42" s="763"/>
      <c r="R42" s="135"/>
      <c r="S42" s="135"/>
      <c r="T42" s="339"/>
      <c r="U42" s="135"/>
      <c r="V42" s="135"/>
      <c r="W42" s="135"/>
      <c r="X42" s="135"/>
      <c r="Y42" s="135"/>
      <c r="Z42" s="135"/>
      <c r="AA42" s="135"/>
      <c r="AB42" s="135"/>
      <c r="AC42" s="736"/>
      <c r="AD42" s="736"/>
      <c r="AE42" s="340"/>
      <c r="AF42" s="135"/>
      <c r="AG42" s="135"/>
      <c r="AH42" s="135"/>
      <c r="AI42" s="135"/>
      <c r="AJ42" s="135"/>
      <c r="AK42" s="135"/>
      <c r="AL42" s="135"/>
      <c r="AM42" s="135"/>
      <c r="AN42" s="135"/>
      <c r="AO42" s="135"/>
      <c r="AP42" s="763"/>
      <c r="AQ42" s="763"/>
      <c r="AS42" s="323"/>
      <c r="AU42" s="322"/>
    </row>
    <row r="43" spans="1:59" x14ac:dyDescent="0.3">
      <c r="B43" s="158" t="str">
        <f>CONCATENATE("TOTAL ",B12)</f>
        <v>TOTAL SENIOR PERSONNEL</v>
      </c>
      <c r="C43" s="159"/>
      <c r="D43" s="160"/>
      <c r="E43" s="160"/>
      <c r="F43" s="288"/>
      <c r="G43" s="288"/>
      <c r="H43" s="289"/>
      <c r="I43" s="289"/>
      <c r="J43" s="289"/>
      <c r="K43" s="289"/>
      <c r="L43" s="289"/>
      <c r="M43" s="289"/>
      <c r="N43" s="289"/>
      <c r="O43" s="289"/>
      <c r="P43" s="726">
        <f>ROUND(SUM(P13:Q42),0)</f>
        <v>0</v>
      </c>
      <c r="Q43" s="726"/>
      <c r="R43" s="289"/>
      <c r="S43" s="289"/>
      <c r="T43" s="341"/>
      <c r="U43" s="289"/>
      <c r="V43" s="289"/>
      <c r="W43" s="289"/>
      <c r="X43" s="289"/>
      <c r="Y43" s="289"/>
      <c r="Z43" s="289"/>
      <c r="AA43" s="289"/>
      <c r="AB43" s="289"/>
      <c r="AC43" s="727">
        <f>ROUND(SUM(AC13:AD42),0)</f>
        <v>0</v>
      </c>
      <c r="AD43" s="727"/>
      <c r="AE43" s="342"/>
      <c r="AF43" s="289"/>
      <c r="AG43" s="289"/>
      <c r="AH43" s="290">
        <f>SUM(AH13:AH42)</f>
        <v>0</v>
      </c>
      <c r="AI43" s="289"/>
      <c r="AJ43" s="291">
        <f>SUM(AJ12:AJ42)</f>
        <v>0</v>
      </c>
      <c r="AK43" s="289"/>
      <c r="AL43" s="290">
        <f>SUM(AL13:AL42)</f>
        <v>0</v>
      </c>
      <c r="AM43" s="289"/>
      <c r="AN43" s="291">
        <f>SUM(AN12:AN42)</f>
        <v>1</v>
      </c>
      <c r="AO43" s="289"/>
      <c r="AP43" s="726">
        <f>ROUND(SUM(AP13:AQ42),0)</f>
        <v>0</v>
      </c>
      <c r="AQ43" s="726"/>
      <c r="AS43" s="323"/>
      <c r="AU43" s="322"/>
      <c r="BE43" s="107"/>
      <c r="BG43" s="108"/>
    </row>
    <row r="44" spans="1:59" ht="3" customHeight="1" x14ac:dyDescent="0.3">
      <c r="T44" s="337"/>
      <c r="AE44" s="336"/>
      <c r="AS44" s="323"/>
      <c r="AU44" s="322"/>
    </row>
    <row r="45" spans="1:59" x14ac:dyDescent="0.3">
      <c r="A45" s="109" t="s">
        <v>182</v>
      </c>
      <c r="B45" s="127" t="s">
        <v>799</v>
      </c>
      <c r="T45" s="337"/>
      <c r="AE45" s="336"/>
      <c r="AS45" s="323"/>
      <c r="AU45" s="322"/>
    </row>
    <row r="46" spans="1:59" ht="14.25" hidden="1" customHeight="1" x14ac:dyDescent="0.3">
      <c r="B46" s="113"/>
      <c r="C46" s="125">
        <v>1</v>
      </c>
      <c r="D46" s="21" t="str">
        <f>'YEAR 4'!D46</f>
        <v>Lab Technician, Senior Level</v>
      </c>
      <c r="F46" s="284">
        <f>ROUND((VLOOKUP(D46,Salaries!$A$3:$I$370,8,FALSE))*(1+COLA/100)*(1+COLA/100)*(1+COLA/100)*(1+COLA/100),0)</f>
        <v>70498</v>
      </c>
      <c r="H46" s="385"/>
      <c r="I46" s="306"/>
      <c r="J46" s="307"/>
      <c r="K46" s="307"/>
      <c r="L46" s="385"/>
      <c r="M46" s="305"/>
      <c r="N46" s="307"/>
      <c r="O46" s="285"/>
      <c r="P46" s="739">
        <f>ROUND(F46/12*H46*J46+F46/12*L46*N46, 0)*C46</f>
        <v>0</v>
      </c>
      <c r="Q46" s="739"/>
      <c r="T46" s="337"/>
      <c r="U46" s="460"/>
      <c r="V46" s="121"/>
      <c r="W46" s="307"/>
      <c r="X46" s="121"/>
      <c r="Y46" s="460"/>
      <c r="Z46" s="121"/>
      <c r="AA46" s="307"/>
      <c r="AC46" s="739">
        <f>ROUND((F46/12*U46*W46)+(F46/12*Y46*AA46),0)</f>
        <v>0</v>
      </c>
      <c r="AD46" s="739"/>
      <c r="AE46" s="336"/>
      <c r="AH46" s="152">
        <f>U46+H46</f>
        <v>0</v>
      </c>
      <c r="AI46" s="152"/>
      <c r="AJ46" s="286">
        <f>W46+J46</f>
        <v>0</v>
      </c>
      <c r="AK46" s="152"/>
      <c r="AL46" s="152">
        <f>Y46+L46</f>
        <v>0</v>
      </c>
      <c r="AM46" s="152"/>
      <c r="AN46" s="286">
        <f>AA46+N46</f>
        <v>0</v>
      </c>
      <c r="AO46" s="279"/>
      <c r="AP46" s="765">
        <f>ROUND(SUM(P46:Q47)+SUM(AC46:AD47),0)</f>
        <v>0</v>
      </c>
      <c r="AQ46" s="765"/>
      <c r="AS46" s="323"/>
      <c r="AU46" s="322"/>
      <c r="AW46" s="107">
        <f>P46</f>
        <v>0</v>
      </c>
      <c r="AY46" s="107">
        <f>ROUND(AC46,0)</f>
        <v>0</v>
      </c>
      <c r="BA46" s="108">
        <f>ROUND(AY46+AW46,0)</f>
        <v>0</v>
      </c>
    </row>
    <row r="47" spans="1:59" hidden="1" x14ac:dyDescent="0.3">
      <c r="B47" s="119"/>
      <c r="C47" s="125"/>
      <c r="D47" s="106" t="str">
        <f>"Fringe @ "&amp;TEXT(FRINGE,"0.00%")</f>
        <v>Fringe @ 27.27%</v>
      </c>
      <c r="H47" s="121"/>
      <c r="I47" s="121"/>
      <c r="J47" s="121"/>
      <c r="K47" s="121"/>
      <c r="L47" s="121"/>
      <c r="M47" s="121"/>
      <c r="N47" s="121"/>
      <c r="O47" s="283"/>
      <c r="Q47" s="180">
        <f>ROUND(P46*FRINGE*(1+FrCOLA+FrCOLA+FrCOLA+FrCOLA),0)</f>
        <v>0</v>
      </c>
      <c r="T47" s="337"/>
      <c r="U47" s="461"/>
      <c r="V47" s="121"/>
      <c r="W47" s="121"/>
      <c r="X47" s="121"/>
      <c r="Y47" s="461"/>
      <c r="Z47" s="121"/>
      <c r="AA47" s="121"/>
      <c r="AC47" s="180"/>
      <c r="AD47" s="180">
        <f>ROUND(AC46*FRINGE*(1+FrCOLA+FrCOLA+FrCOLA+FrCOLA),0)</f>
        <v>0</v>
      </c>
      <c r="AE47" s="336"/>
      <c r="AH47" s="152"/>
      <c r="AI47" s="152"/>
      <c r="AJ47" s="152"/>
      <c r="AK47" s="152"/>
      <c r="AL47" s="152"/>
      <c r="AM47" s="152"/>
      <c r="AN47" s="152"/>
      <c r="AO47" s="279"/>
      <c r="AP47" s="765"/>
      <c r="AQ47" s="765"/>
      <c r="AS47" s="323"/>
      <c r="AU47" s="322"/>
      <c r="BC47" s="107">
        <f>ROUND(Q47,0)</f>
        <v>0</v>
      </c>
      <c r="BE47" s="107">
        <f>ROUND(AD47,0)</f>
        <v>0</v>
      </c>
      <c r="BG47" s="108">
        <f>ROUND(BE47+BC47,0)</f>
        <v>0</v>
      </c>
    </row>
    <row r="48" spans="1:59" ht="3" hidden="1" customHeight="1" x14ac:dyDescent="0.3">
      <c r="C48" s="125"/>
      <c r="D48" s="115"/>
      <c r="E48" s="115"/>
      <c r="H48" s="121"/>
      <c r="I48" s="121"/>
      <c r="J48" s="121"/>
      <c r="K48" s="121"/>
      <c r="L48" s="121"/>
      <c r="M48" s="121"/>
      <c r="N48" s="121"/>
      <c r="O48" s="283"/>
      <c r="T48" s="337"/>
      <c r="U48" s="461"/>
      <c r="V48" s="121"/>
      <c r="W48" s="121"/>
      <c r="X48" s="121"/>
      <c r="Y48" s="461"/>
      <c r="Z48" s="121"/>
      <c r="AA48" s="121"/>
      <c r="AC48" s="180"/>
      <c r="AD48" s="180"/>
      <c r="AE48" s="336"/>
      <c r="AH48" s="152"/>
      <c r="AI48" s="152"/>
      <c r="AJ48" s="152"/>
      <c r="AK48" s="152"/>
      <c r="AL48" s="152"/>
      <c r="AM48" s="152"/>
      <c r="AN48" s="152"/>
      <c r="AO48" s="279"/>
      <c r="AP48" s="608"/>
      <c r="AQ48" s="608"/>
      <c r="AS48" s="323"/>
      <c r="AU48" s="322"/>
    </row>
    <row r="49" spans="1:59" ht="14.25" hidden="1" customHeight="1" x14ac:dyDescent="0.3">
      <c r="B49" s="113"/>
      <c r="C49" s="125">
        <v>1</v>
      </c>
      <c r="D49" s="21" t="str">
        <f>'YEAR 4'!D49</f>
        <v>PhD Post Doc</v>
      </c>
      <c r="F49" s="284">
        <f>ROUND((VLOOKUP(D49,Salaries!$A$3:$I$370,8,FALSE))*(1+COLA/100)*(1+COLA/100)*(1+COLA/100)*(1+COLA/100),0)</f>
        <v>61511</v>
      </c>
      <c r="H49" s="385"/>
      <c r="I49" s="306"/>
      <c r="J49" s="307"/>
      <c r="K49" s="307"/>
      <c r="L49" s="385"/>
      <c r="M49" s="305"/>
      <c r="N49" s="307"/>
      <c r="O49" s="285"/>
      <c r="P49" s="739">
        <f>ROUND((VLOOKUP($D49,Salaries!$A$3:$I$370,9,FALSE)*H49*J49*(1+COLA/100)*(1+COLA/100)*(1+COLA/100)*(1+COLA/100))+(VLOOKUP($D49,Salaries!$A$3:$I$370,9,FALSE)*L49*N49*(1+COLA/100)*(1+COLA/100)*(1+COLA/100)*(1+COLA/100)),0)*C49</f>
        <v>0</v>
      </c>
      <c r="Q49" s="739"/>
      <c r="T49" s="337"/>
      <c r="U49" s="460"/>
      <c r="V49" s="306"/>
      <c r="W49" s="307"/>
      <c r="X49" s="307"/>
      <c r="Y49" s="460"/>
      <c r="Z49" s="305"/>
      <c r="AA49" s="307"/>
      <c r="AC49" s="739">
        <f>ROUND((VLOOKUP($D49,Salaries!$A$3:$I$370,9,FALSE)*U49*W49*(1+COLA/100)*(1+COLA/100)*(1+COLA/100)*(1+COLA/100))+(VLOOKUP($D49,Salaries!$A$3:$I$370,9,FALSE)*Y49*AA49*(1+COLA/100)*(1+COLA/100)*(1+COLA/100)*(1+COLA/100)),0)*P49</f>
        <v>0</v>
      </c>
      <c r="AD49" s="739"/>
      <c r="AE49" s="336"/>
      <c r="AH49" s="152">
        <f>U49+H49</f>
        <v>0</v>
      </c>
      <c r="AI49" s="152"/>
      <c r="AJ49" s="286">
        <f>W49+J49</f>
        <v>0</v>
      </c>
      <c r="AK49" s="152"/>
      <c r="AL49" s="152">
        <f>Y49+L49</f>
        <v>0</v>
      </c>
      <c r="AM49" s="152"/>
      <c r="AN49" s="286">
        <f>AA49+N49</f>
        <v>0</v>
      </c>
      <c r="AO49" s="279"/>
      <c r="AP49" s="765">
        <f>ROUND(SUM(P49:Q50)+SUM(AC49:AD50),0)</f>
        <v>0</v>
      </c>
      <c r="AQ49" s="765"/>
      <c r="AS49" s="323"/>
      <c r="AU49" s="322"/>
      <c r="AW49" s="107">
        <f>P49</f>
        <v>0</v>
      </c>
      <c r="AY49" s="107">
        <f>ROUND(AC49,0)</f>
        <v>0</v>
      </c>
      <c r="BA49" s="108">
        <f>ROUND(AY49+AW49,0)</f>
        <v>0</v>
      </c>
    </row>
    <row r="50" spans="1:59" hidden="1" x14ac:dyDescent="0.3">
      <c r="C50" s="125"/>
      <c r="D50" s="106" t="str">
        <f>"Fringe @ "&amp;TEXT(FRINGE,"0.00%")</f>
        <v>Fringe @ 27.27%</v>
      </c>
      <c r="H50" s="121"/>
      <c r="I50" s="121"/>
      <c r="J50" s="121"/>
      <c r="K50" s="121"/>
      <c r="L50" s="121"/>
      <c r="M50" s="121"/>
      <c r="N50" s="121"/>
      <c r="O50" s="283"/>
      <c r="Q50" s="180">
        <f>ROUND(P49*FRINGE*(1+FrCOLA+FrCOLA+FrCOLA+FrCOLA),0)</f>
        <v>0</v>
      </c>
      <c r="R50" s="180"/>
      <c r="S50" s="180"/>
      <c r="T50" s="337"/>
      <c r="U50" s="121"/>
      <c r="V50" s="121"/>
      <c r="W50" s="121"/>
      <c r="X50" s="121"/>
      <c r="Y50" s="121"/>
      <c r="Z50" s="121"/>
      <c r="AA50" s="121"/>
      <c r="AC50" s="180"/>
      <c r="AD50" s="180">
        <f>ROUND(AC49*FRINGE*(1+FrCOLA+FrCOLA+FrCOLA+FrCOLA),0)</f>
        <v>0</v>
      </c>
      <c r="AE50" s="336"/>
      <c r="AH50" s="152"/>
      <c r="AI50" s="152"/>
      <c r="AJ50" s="152"/>
      <c r="AK50" s="152"/>
      <c r="AL50" s="152"/>
      <c r="AM50" s="152"/>
      <c r="AN50" s="152"/>
      <c r="AO50" s="279"/>
      <c r="AP50" s="765"/>
      <c r="AQ50" s="765"/>
      <c r="AS50" s="323"/>
      <c r="AU50" s="322"/>
      <c r="BC50" s="107">
        <f>ROUND(Q50,0)</f>
        <v>0</v>
      </c>
      <c r="BE50" s="107">
        <f>ROUND(AD50,0)</f>
        <v>0</v>
      </c>
      <c r="BG50" s="108">
        <f>ROUND(BE50+BC50,0)</f>
        <v>0</v>
      </c>
    </row>
    <row r="51" spans="1:59" ht="3" hidden="1" customHeight="1" x14ac:dyDescent="0.3">
      <c r="B51" s="127"/>
      <c r="C51" s="125"/>
      <c r="H51" s="121"/>
      <c r="I51" s="121"/>
      <c r="J51" s="121"/>
      <c r="K51" s="121"/>
      <c r="L51" s="121"/>
      <c r="M51" s="121"/>
      <c r="N51" s="121"/>
      <c r="O51" s="283"/>
      <c r="T51" s="337"/>
      <c r="U51" s="121"/>
      <c r="V51" s="121"/>
      <c r="W51" s="121"/>
      <c r="X51" s="121"/>
      <c r="Y51" s="121"/>
      <c r="Z51" s="121"/>
      <c r="AA51" s="121"/>
      <c r="AC51" s="180"/>
      <c r="AD51" s="180"/>
      <c r="AE51" s="336"/>
      <c r="AH51" s="152"/>
      <c r="AI51" s="152"/>
      <c r="AJ51" s="152"/>
      <c r="AK51" s="152"/>
      <c r="AL51" s="152"/>
      <c r="AM51" s="152"/>
      <c r="AN51" s="152"/>
      <c r="AO51" s="279"/>
      <c r="AS51" s="323"/>
      <c r="AU51" s="322"/>
    </row>
    <row r="52" spans="1:59" ht="14.25" customHeight="1" x14ac:dyDescent="0.3">
      <c r="B52" s="113"/>
      <c r="C52" s="125">
        <v>1</v>
      </c>
      <c r="D52" s="21" t="str">
        <f>'YEAR 4'!D52</f>
        <v>Graduate Student</v>
      </c>
      <c r="F52" s="284">
        <f>ROUND((VLOOKUP(D52,Salaries!$A$3:$I$370,8,FALSE))*(1+COLA/100)*(1+COLA/100)*(1+COLA/100)*(1+COLA/100),0)</f>
        <v>59041</v>
      </c>
      <c r="H52" s="385"/>
      <c r="I52" s="306"/>
      <c r="J52" s="307"/>
      <c r="K52" s="307"/>
      <c r="L52" s="385"/>
      <c r="M52" s="305"/>
      <c r="N52" s="307"/>
      <c r="O52" s="285"/>
      <c r="P52" s="739">
        <f>ROUND((VLOOKUP($D52,Salaries!$A$3:$I$370,9,FALSE)*H52*J52*(1+COLA/100)*(1+COLA/100)*(1+COLA/100)*(1+COLA/100))+(VLOOKUP($D52,Salaries!$A$3:$I$370,9,FALSE)*L52*N52*(1+COLA/100)*(1+COLA/100)*(1+COLA/100)*(1+COLA/100)),0)*C52</f>
        <v>0</v>
      </c>
      <c r="Q52" s="739"/>
      <c r="T52" s="337"/>
      <c r="U52" s="460"/>
      <c r="V52" s="305"/>
      <c r="W52" s="307"/>
      <c r="X52" s="307"/>
      <c r="Y52" s="460"/>
      <c r="Z52" s="305"/>
      <c r="AA52" s="307"/>
      <c r="AC52" s="739">
        <f>ROUND((VLOOKUP($D52,Salaries!$A$3:$I$370,9,FALSE)*U52*W52*(1+COLA/100)*(1+COLA/100)*(1+COLA/100)*(1+COLA/100))+(VLOOKUP($D52,Salaries!$A$3:$I$370,9,FALSE)*Y52*AA52*(1+COLA/100)*(1+COLA/100)*(1+COLA/100)*(1+COLA/100)),0)*C52</f>
        <v>0</v>
      </c>
      <c r="AD52" s="739"/>
      <c r="AE52" s="336"/>
      <c r="AH52" s="152">
        <f>U52+H52</f>
        <v>0</v>
      </c>
      <c r="AI52" s="152"/>
      <c r="AJ52" s="286">
        <f>W52+J52</f>
        <v>0</v>
      </c>
      <c r="AK52" s="152"/>
      <c r="AL52" s="152">
        <f>Y52+L52</f>
        <v>0</v>
      </c>
      <c r="AM52" s="152"/>
      <c r="AN52" s="286">
        <f>AA52+N52</f>
        <v>0</v>
      </c>
      <c r="AO52" s="279"/>
      <c r="AP52" s="765">
        <f>ROUND(SUM(P52:Q53)+SUM(AC52:AD53),0)</f>
        <v>0</v>
      </c>
      <c r="AQ52" s="765"/>
      <c r="AS52" s="323"/>
      <c r="AU52" s="322"/>
      <c r="AW52" s="107">
        <f>P52</f>
        <v>0</v>
      </c>
      <c r="AY52" s="107">
        <f>ROUND(AC52,0)</f>
        <v>0</v>
      </c>
      <c r="BA52" s="108">
        <f>ROUND(AY52+AW52,0)</f>
        <v>0</v>
      </c>
    </row>
    <row r="53" spans="1:59" x14ac:dyDescent="0.3">
      <c r="A53" s="109"/>
      <c r="B53" s="109"/>
      <c r="C53" s="125"/>
      <c r="D53" s="106" t="str">
        <f>"Fringe @ "&amp;TEXT(StuFRINGE+FrCOLA+FrCOLA+FrCOLA,"0.00%")</f>
        <v>Fringe @ 7.99%</v>
      </c>
      <c r="H53" s="382"/>
      <c r="I53" s="382"/>
      <c r="J53" s="382"/>
      <c r="K53" s="382"/>
      <c r="L53" s="382"/>
      <c r="M53" s="382"/>
      <c r="N53" s="382"/>
      <c r="O53" s="283"/>
      <c r="Q53" s="180">
        <f>ROUND(P52*StuFRINGE*(1+FrCOLA+FrCOLA+FrCOLA+FrCOLA),0)</f>
        <v>0</v>
      </c>
      <c r="T53" s="337"/>
      <c r="U53" s="382"/>
      <c r="V53" s="382"/>
      <c r="W53" s="382"/>
      <c r="X53" s="382"/>
      <c r="Y53" s="382"/>
      <c r="Z53" s="382"/>
      <c r="AA53" s="382"/>
      <c r="AC53" s="180"/>
      <c r="AD53" s="180">
        <f>ROUND(AC52*StuFRINGE*(1+FrCOLA+FrCOLA+FrCOLA+FrCOLA),0)</f>
        <v>0</v>
      </c>
      <c r="AE53" s="336"/>
      <c r="AH53" s="152"/>
      <c r="AI53" s="152"/>
      <c r="AJ53" s="152"/>
      <c r="AK53" s="152"/>
      <c r="AL53" s="152"/>
      <c r="AM53" s="152"/>
      <c r="AN53" s="152"/>
      <c r="AO53" s="279"/>
      <c r="AP53" s="765"/>
      <c r="AQ53" s="765"/>
      <c r="AS53" s="323"/>
      <c r="AU53" s="322"/>
      <c r="BC53" s="107">
        <f>ROUND(Q53,0)</f>
        <v>0</v>
      </c>
      <c r="BE53" s="107">
        <f>ROUND(AD53,0)</f>
        <v>0</v>
      </c>
      <c r="BG53" s="108">
        <f>ROUND(BE53+BC53,0)</f>
        <v>0</v>
      </c>
    </row>
    <row r="54" spans="1:59" ht="3" customHeight="1" x14ac:dyDescent="0.3">
      <c r="C54" s="279"/>
      <c r="D54" s="115"/>
      <c r="E54" s="115"/>
      <c r="H54" s="382"/>
      <c r="I54" s="382"/>
      <c r="J54" s="382"/>
      <c r="K54" s="382"/>
      <c r="L54" s="382"/>
      <c r="M54" s="382"/>
      <c r="N54" s="382"/>
      <c r="O54" s="283"/>
      <c r="T54" s="337"/>
      <c r="U54" s="382"/>
      <c r="V54" s="382"/>
      <c r="W54" s="382"/>
      <c r="X54" s="382"/>
      <c r="Y54" s="382"/>
      <c r="Z54" s="382"/>
      <c r="AA54" s="382"/>
      <c r="AC54" s="180"/>
      <c r="AD54" s="180"/>
      <c r="AE54" s="336"/>
      <c r="AH54" s="152"/>
      <c r="AI54" s="152"/>
      <c r="AJ54" s="152"/>
      <c r="AK54" s="152"/>
      <c r="AL54" s="152"/>
      <c r="AM54" s="152"/>
      <c r="AN54" s="152"/>
      <c r="AO54" s="279"/>
      <c r="AS54" s="323"/>
      <c r="AU54" s="322"/>
    </row>
    <row r="55" spans="1:59" ht="14.25" customHeight="1" x14ac:dyDescent="0.3">
      <c r="C55" s="125">
        <v>1</v>
      </c>
      <c r="D55" s="21" t="str">
        <f>'YEAR 4'!D55</f>
        <v>Graduate Student</v>
      </c>
      <c r="F55" s="284">
        <f>ROUND((VLOOKUP(D55,Salaries!$A$3:$I$370,8,FALSE))*(1+COLA/100)*(1+COLA/100)*(1+COLA/100)*(1+COLA/100),0)</f>
        <v>59041</v>
      </c>
      <c r="H55" s="385"/>
      <c r="I55" s="306"/>
      <c r="J55" s="307"/>
      <c r="K55" s="307"/>
      <c r="L55" s="385"/>
      <c r="M55" s="305"/>
      <c r="N55" s="307"/>
      <c r="O55" s="285"/>
      <c r="P55" s="739">
        <f>ROUND((VLOOKUP($D55,Salaries!$A$3:$I$370,9,FALSE)*H55*J55*(1+COLA/100)*(1+COLA/100)*(1+COLA/100)*(1+COLA/100))+(VLOOKUP($D55,Salaries!$A$3:$I$370,9,FALSE)*L55*N55*(1+COLA/100)*(1+COLA/100)*(1+COLA/100)*(1+COLA/100)),0)*C55</f>
        <v>0</v>
      </c>
      <c r="Q55" s="739"/>
      <c r="T55" s="337"/>
      <c r="U55" s="460"/>
      <c r="V55" s="305"/>
      <c r="W55" s="307"/>
      <c r="X55" s="307"/>
      <c r="Y55" s="460"/>
      <c r="Z55" s="305"/>
      <c r="AA55" s="307"/>
      <c r="AC55" s="739">
        <f>ROUND((VLOOKUP($D55,Salaries!$A$3:$I$370,9,FALSE)*U55*W55*(1+COLA/100)*(1+COLA/100)*(1+COLA/100)*(1+COLA/100))+(VLOOKUP($D55,Salaries!$A$3:$I$370,9,FALSE)*Y55*AA55*(1+COLA/100)*(1+COLA/100)*(1+COLA/100)*(1+COLA/100)),0)*C55</f>
        <v>0</v>
      </c>
      <c r="AD55" s="739"/>
      <c r="AE55" s="336"/>
      <c r="AH55" s="152">
        <f>U55+H55</f>
        <v>0</v>
      </c>
      <c r="AI55" s="152"/>
      <c r="AJ55" s="286">
        <f>W55+J55</f>
        <v>0</v>
      </c>
      <c r="AK55" s="152"/>
      <c r="AL55" s="152">
        <f>Y55+L55</f>
        <v>0</v>
      </c>
      <c r="AM55" s="152"/>
      <c r="AN55" s="286">
        <f>AA55+N55</f>
        <v>0</v>
      </c>
      <c r="AO55" s="279"/>
      <c r="AP55" s="765">
        <f>ROUND(SUM(P55:Q56)+SUM(AC55:AD56),0)</f>
        <v>0</v>
      </c>
      <c r="AQ55" s="765"/>
      <c r="AS55" s="323"/>
      <c r="AU55" s="322"/>
      <c r="AW55" s="107">
        <f>P55</f>
        <v>0</v>
      </c>
      <c r="AY55" s="107">
        <f>ROUND(AC55,0)</f>
        <v>0</v>
      </c>
      <c r="BA55" s="108">
        <f>ROUND(AY55+AW55,0)</f>
        <v>0</v>
      </c>
    </row>
    <row r="56" spans="1:59" x14ac:dyDescent="0.3">
      <c r="C56" s="125"/>
      <c r="D56" s="106" t="str">
        <f>"Fringe @ "&amp;TEXT(StuFRINGE+FrCOLA+FrCOLA+FrCOLA,"0.00%")</f>
        <v>Fringe @ 7.99%</v>
      </c>
      <c r="H56" s="121"/>
      <c r="I56" s="121"/>
      <c r="J56" s="121"/>
      <c r="K56" s="121"/>
      <c r="L56" s="121"/>
      <c r="M56" s="121"/>
      <c r="N56" s="121"/>
      <c r="O56" s="283"/>
      <c r="Q56" s="180">
        <f>ROUND(P55*StuFRINGE*(1+FrCOLA+FrCOLA+FrCOLA+FrCOLA),0)</f>
        <v>0</v>
      </c>
      <c r="T56" s="337"/>
      <c r="U56" s="121"/>
      <c r="V56" s="121"/>
      <c r="W56" s="121"/>
      <c r="X56" s="121"/>
      <c r="Y56" s="121"/>
      <c r="Z56" s="121"/>
      <c r="AA56" s="121"/>
      <c r="AC56" s="180"/>
      <c r="AD56" s="180">
        <f>ROUND(AC55*StuFRINGE*(1+FrCOLA+FrCOLA+FrCOLA+FrCOLA),0)</f>
        <v>0</v>
      </c>
      <c r="AE56" s="336"/>
      <c r="AH56" s="152"/>
      <c r="AI56" s="152"/>
      <c r="AJ56" s="152"/>
      <c r="AK56" s="152"/>
      <c r="AL56" s="152"/>
      <c r="AM56" s="152"/>
      <c r="AN56" s="152"/>
      <c r="AO56" s="279"/>
      <c r="AP56" s="765"/>
      <c r="AQ56" s="765"/>
      <c r="AS56" s="323"/>
      <c r="AU56" s="322"/>
      <c r="BC56" s="107">
        <f>ROUND(Q56,0)</f>
        <v>0</v>
      </c>
      <c r="BE56" s="107">
        <f>ROUND(AD56,0)</f>
        <v>0</v>
      </c>
      <c r="BG56" s="108">
        <f>ROUND(BE56+BC56,0)</f>
        <v>0</v>
      </c>
    </row>
    <row r="57" spans="1:59" ht="3" customHeight="1" x14ac:dyDescent="0.3">
      <c r="C57" s="279"/>
      <c r="D57" s="115"/>
      <c r="E57" s="115"/>
      <c r="F57" s="284"/>
      <c r="H57" s="106"/>
      <c r="I57" s="106"/>
      <c r="J57" s="106"/>
      <c r="K57" s="106"/>
      <c r="L57" s="121"/>
      <c r="M57" s="121"/>
      <c r="N57" s="121"/>
      <c r="O57" s="122"/>
      <c r="T57" s="337"/>
      <c r="U57" s="106"/>
      <c r="V57" s="106"/>
      <c r="W57" s="106"/>
      <c r="X57" s="106"/>
      <c r="Y57" s="121"/>
      <c r="Z57" s="121"/>
      <c r="AA57" s="121"/>
      <c r="AC57" s="180"/>
      <c r="AD57" s="180"/>
      <c r="AE57" s="336"/>
      <c r="AH57" s="279"/>
      <c r="AI57" s="279"/>
      <c r="AJ57" s="279"/>
      <c r="AK57" s="279"/>
      <c r="AL57" s="152"/>
      <c r="AM57" s="152"/>
      <c r="AN57" s="152"/>
      <c r="AO57" s="279"/>
      <c r="AS57" s="323"/>
      <c r="AU57" s="322"/>
    </row>
    <row r="58" spans="1:59" ht="14.25" customHeight="1" x14ac:dyDescent="0.3">
      <c r="C58" s="125">
        <v>1</v>
      </c>
      <c r="D58" s="21" t="str">
        <f>'YEAR 4'!D58</f>
        <v>Graduate Student</v>
      </c>
      <c r="F58" s="284">
        <f>ROUND((VLOOKUP(D58,Salaries!$A$3:$I$370,8,FALSE))*(1+COLA/100)*(1+COLA/100)*(1+COLA/100)*(1+COLA/100),0)</f>
        <v>59041</v>
      </c>
      <c r="H58" s="385"/>
      <c r="I58" s="306"/>
      <c r="J58" s="307"/>
      <c r="K58" s="307"/>
      <c r="L58" s="385"/>
      <c r="M58" s="305"/>
      <c r="N58" s="307"/>
      <c r="O58" s="285"/>
      <c r="P58" s="739">
        <f>ROUND((VLOOKUP($D58,Salaries!$A$3:$I$370,9,FALSE)*H58*J58*(1+COLA/100)*(1+COLA/100)*(1+COLA/100)*(1+COLA/100))+(VLOOKUP($D58,Salaries!$A$3:$I$370,9,FALSE)*L58*N58*(1+COLA/100)*(1+COLA/100)*(1+COLA/100)*(1+COLA/100)),0)*C58</f>
        <v>0</v>
      </c>
      <c r="Q58" s="739"/>
      <c r="T58" s="337"/>
      <c r="U58" s="460"/>
      <c r="V58" s="305"/>
      <c r="W58" s="307"/>
      <c r="X58" s="307"/>
      <c r="Y58" s="460"/>
      <c r="Z58" s="305"/>
      <c r="AA58" s="307"/>
      <c r="AC58" s="739">
        <f>ROUND((VLOOKUP($D58,Salaries!$A$3:$I$370,9,FALSE)*U58*W58*(1+COLA/100)*(1+COLA/100)*(1+COLA/100)*(1+COLA/100))+(VLOOKUP($D58,Salaries!$A$3:$I$370,9,FALSE)*Y58*AA58*(1+COLA/100)*(1+COLA/100)*(1+COLA/100)*(1+COLA/100)),0)*C58</f>
        <v>0</v>
      </c>
      <c r="AD58" s="739"/>
      <c r="AE58" s="336"/>
      <c r="AH58" s="152">
        <f>U58+H58</f>
        <v>0</v>
      </c>
      <c r="AI58" s="152"/>
      <c r="AJ58" s="286">
        <f>W58+J58</f>
        <v>0</v>
      </c>
      <c r="AK58" s="152"/>
      <c r="AL58" s="152">
        <f>Y58+L58</f>
        <v>0</v>
      </c>
      <c r="AM58" s="152"/>
      <c r="AN58" s="286">
        <f>AA58+N58</f>
        <v>0</v>
      </c>
      <c r="AO58" s="279"/>
      <c r="AP58" s="765">
        <f>ROUND(SUM(P58:Q59)+SUM(AC58:AD59),0)</f>
        <v>0</v>
      </c>
      <c r="AQ58" s="765"/>
      <c r="AS58" s="323"/>
      <c r="AU58" s="322"/>
      <c r="AW58" s="107">
        <f>P58</f>
        <v>0</v>
      </c>
      <c r="AY58" s="107">
        <f>ROUND(AC58,0)</f>
        <v>0</v>
      </c>
      <c r="BA58" s="108">
        <f>ROUND(AY58+AW58,0)</f>
        <v>0</v>
      </c>
    </row>
    <row r="59" spans="1:59" x14ac:dyDescent="0.3">
      <c r="C59" s="125"/>
      <c r="D59" s="106" t="str">
        <f>"Fringe @ "&amp;TEXT(StuFRINGE+FrCOLA+FrCOLA+FrCOLA,"0.00%")</f>
        <v>Fringe @ 7.99%</v>
      </c>
      <c r="H59" s="121"/>
      <c r="I59" s="121"/>
      <c r="J59" s="121"/>
      <c r="K59" s="121"/>
      <c r="L59" s="121"/>
      <c r="M59" s="121"/>
      <c r="N59" s="121"/>
      <c r="O59" s="283"/>
      <c r="Q59" s="180">
        <f>ROUND(P58*StuFRINGE*(1+FrCOLA+FrCOLA+FrCOLA+FrCOLA),0)</f>
        <v>0</v>
      </c>
      <c r="T59" s="337"/>
      <c r="U59" s="121"/>
      <c r="V59" s="121"/>
      <c r="W59" s="121"/>
      <c r="X59" s="121"/>
      <c r="Y59" s="121"/>
      <c r="Z59" s="121"/>
      <c r="AA59" s="121"/>
      <c r="AC59" s="180"/>
      <c r="AD59" s="180">
        <f>ROUND(AC58*StuFRINGE*(1+FrCOLA+FrCOLA+FrCOLA+FrCOLA),0)</f>
        <v>0</v>
      </c>
      <c r="AE59" s="336"/>
      <c r="AH59" s="152"/>
      <c r="AI59" s="152"/>
      <c r="AJ59" s="152"/>
      <c r="AK59" s="152"/>
      <c r="AL59" s="152"/>
      <c r="AM59" s="152"/>
      <c r="AN59" s="152"/>
      <c r="AO59" s="279"/>
      <c r="AP59" s="765"/>
      <c r="AQ59" s="765"/>
      <c r="AS59" s="323"/>
      <c r="AU59" s="322"/>
      <c r="BC59" s="107">
        <f>ROUND(Q59,0)</f>
        <v>0</v>
      </c>
      <c r="BE59" s="107">
        <f>ROUND(AD59,0)</f>
        <v>0</v>
      </c>
      <c r="BG59" s="108">
        <f>ROUND(BE59+BC59,0)</f>
        <v>0</v>
      </c>
    </row>
    <row r="60" spans="1:59" ht="3" customHeight="1" x14ac:dyDescent="0.3">
      <c r="C60" s="125"/>
      <c r="D60" s="115"/>
      <c r="E60" s="115"/>
      <c r="H60" s="106"/>
      <c r="I60" s="106"/>
      <c r="J60" s="106"/>
      <c r="K60" s="106"/>
      <c r="L60" s="106"/>
      <c r="M60" s="106"/>
      <c r="N60" s="106"/>
      <c r="T60" s="337"/>
      <c r="U60" s="106"/>
      <c r="V60" s="106"/>
      <c r="W60" s="106"/>
      <c r="X60" s="106"/>
      <c r="Y60" s="106"/>
      <c r="Z60" s="106"/>
      <c r="AA60" s="106"/>
      <c r="AC60" s="180"/>
      <c r="AD60" s="180"/>
      <c r="AE60" s="336"/>
      <c r="AH60" s="279"/>
      <c r="AI60" s="279"/>
      <c r="AJ60" s="279"/>
      <c r="AK60" s="279"/>
      <c r="AL60" s="279"/>
      <c r="AM60" s="279"/>
      <c r="AN60" s="279"/>
      <c r="AO60" s="279"/>
      <c r="AS60" s="323"/>
      <c r="AU60" s="322"/>
    </row>
    <row r="61" spans="1:59" ht="14.25" customHeight="1" x14ac:dyDescent="0.3">
      <c r="C61" s="125">
        <v>1</v>
      </c>
      <c r="D61" s="21" t="str">
        <f>'YEAR 4'!D61</f>
        <v>Graduate Student</v>
      </c>
      <c r="F61" s="284">
        <f>ROUND((VLOOKUP(D61,Salaries!$A$3:$I$370,8,FALSE))*(1+COLA/100)*(1+COLA/100)*(1+COLA/100)*(1+COLA/100),0)</f>
        <v>59041</v>
      </c>
      <c r="H61" s="385"/>
      <c r="I61" s="306"/>
      <c r="J61" s="307"/>
      <c r="K61" s="307"/>
      <c r="L61" s="385"/>
      <c r="M61" s="305"/>
      <c r="N61" s="307"/>
      <c r="O61" s="285"/>
      <c r="P61" s="739">
        <f>ROUND(F61/12*H61*J61+F61/12*L61*N61, 0)*C61</f>
        <v>0</v>
      </c>
      <c r="Q61" s="739"/>
      <c r="T61" s="337"/>
      <c r="U61" s="460"/>
      <c r="V61" s="305"/>
      <c r="W61" s="307"/>
      <c r="X61" s="307"/>
      <c r="Y61" s="460"/>
      <c r="Z61" s="305"/>
      <c r="AA61" s="307"/>
      <c r="AC61" s="739">
        <f>ROUND((VLOOKUP($D61,Salaries!$A$3:$I$370,9,FALSE)*U61*W61*(1+COLA/100)*(1+COLA/100)*(1+COLA/100)*(1+COLA/100))+(VLOOKUP($D61,Salaries!$A$3:$I$370,9,FALSE)*Y61*AA61*(1+COLA/100)*(1+COLA/100)*(1+COLA/100)*(1+COLA/100)),0)*C61</f>
        <v>0</v>
      </c>
      <c r="AD61" s="739"/>
      <c r="AE61" s="336"/>
      <c r="AH61" s="152">
        <f>U61+H61</f>
        <v>0</v>
      </c>
      <c r="AI61" s="152"/>
      <c r="AJ61" s="286">
        <f>W61+J61</f>
        <v>0</v>
      </c>
      <c r="AK61" s="152"/>
      <c r="AL61" s="152">
        <f>Y61+L61</f>
        <v>0</v>
      </c>
      <c r="AM61" s="152"/>
      <c r="AN61" s="286">
        <f>AA61+N61</f>
        <v>0</v>
      </c>
      <c r="AO61" s="279"/>
      <c r="AP61" s="765">
        <f>ROUND(SUM(P61:Q62)+SUM(AC61:AD62),0)</f>
        <v>0</v>
      </c>
      <c r="AQ61" s="765"/>
      <c r="AS61" s="323"/>
      <c r="AU61" s="322"/>
      <c r="AW61" s="107">
        <f>P61</f>
        <v>0</v>
      </c>
      <c r="AY61" s="107">
        <f>ROUND(AC61,0)</f>
        <v>0</v>
      </c>
      <c r="BA61" s="108">
        <f>ROUND(AY61+AW61,0)</f>
        <v>0</v>
      </c>
    </row>
    <row r="62" spans="1:59" x14ac:dyDescent="0.3">
      <c r="C62" s="125"/>
      <c r="D62" s="106" t="str">
        <f>"Fringe @ "&amp;TEXT(StuFRINGE+FrCOLA+FrCOLA+FrCOLA,"0.00%")</f>
        <v>Fringe @ 7.99%</v>
      </c>
      <c r="H62" s="121"/>
      <c r="I62" s="121"/>
      <c r="J62" s="121"/>
      <c r="K62" s="121"/>
      <c r="L62" s="121"/>
      <c r="M62" s="121"/>
      <c r="N62" s="121"/>
      <c r="O62" s="283"/>
      <c r="Q62" s="180">
        <f>ROUND(P61*StuFRINGE*(1+FrCOLA+FrCOLA+FrCOLA+FrCOLA),0)</f>
        <v>0</v>
      </c>
      <c r="T62" s="337"/>
      <c r="U62" s="121"/>
      <c r="V62" s="121"/>
      <c r="W62" s="121"/>
      <c r="X62" s="121"/>
      <c r="Y62" s="121"/>
      <c r="Z62" s="121"/>
      <c r="AA62" s="121"/>
      <c r="AC62" s="180"/>
      <c r="AD62" s="180">
        <f>ROUND(AC61*StuFRINGE*(1+FrCOLA+FrCOLA+FrCOLA+FrCOLA),0)</f>
        <v>0</v>
      </c>
      <c r="AE62" s="336"/>
      <c r="AH62" s="152"/>
      <c r="AI62" s="152"/>
      <c r="AJ62" s="152"/>
      <c r="AK62" s="152"/>
      <c r="AL62" s="152"/>
      <c r="AM62" s="152"/>
      <c r="AN62" s="152"/>
      <c r="AO62" s="279"/>
      <c r="AP62" s="765"/>
      <c r="AQ62" s="765"/>
      <c r="AS62" s="323"/>
      <c r="AU62" s="322"/>
      <c r="BC62" s="107">
        <f>ROUND(Q62,0)</f>
        <v>0</v>
      </c>
      <c r="BE62" s="107">
        <f>ROUND(AD62,0)</f>
        <v>0</v>
      </c>
      <c r="BG62" s="108">
        <f>ROUND(BE62+BC62,0)</f>
        <v>0</v>
      </c>
    </row>
    <row r="63" spans="1:59" ht="3" customHeight="1" x14ac:dyDescent="0.3">
      <c r="C63" s="125"/>
      <c r="D63" s="115"/>
      <c r="E63" s="115"/>
      <c r="H63" s="106"/>
      <c r="I63" s="106"/>
      <c r="J63" s="106"/>
      <c r="K63" s="106"/>
      <c r="L63" s="123"/>
      <c r="M63" s="123"/>
      <c r="N63" s="123"/>
      <c r="O63" s="124"/>
      <c r="T63" s="337"/>
      <c r="U63" s="106"/>
      <c r="V63" s="106"/>
      <c r="W63" s="106"/>
      <c r="X63" s="106"/>
      <c r="Y63" s="123"/>
      <c r="Z63" s="123"/>
      <c r="AA63" s="123"/>
      <c r="AC63" s="180"/>
      <c r="AD63" s="180"/>
      <c r="AE63" s="336"/>
      <c r="AH63" s="279"/>
      <c r="AI63" s="279"/>
      <c r="AJ63" s="279"/>
      <c r="AK63" s="279"/>
      <c r="AL63" s="287"/>
      <c r="AM63" s="287"/>
      <c r="AN63" s="287"/>
      <c r="AO63" s="279"/>
      <c r="AS63" s="323"/>
      <c r="AU63" s="322"/>
    </row>
    <row r="64" spans="1:59" ht="14.25" customHeight="1" x14ac:dyDescent="0.3">
      <c r="C64" s="125">
        <v>1</v>
      </c>
      <c r="D64" s="21" t="str">
        <f>'YEAR 4'!D64</f>
        <v>Undergraduate Student</v>
      </c>
      <c r="F64" s="284">
        <f>ROUND((VLOOKUP(D64,Salaries!$A$3:$I$370,8,FALSE))*(1+COLA/100)*(1+COLA/100)*(1+COLA/100)*(1+COLA/100),0)</f>
        <v>28093</v>
      </c>
      <c r="H64" s="385"/>
      <c r="I64" s="306"/>
      <c r="J64" s="307"/>
      <c r="K64" s="307"/>
      <c r="L64" s="385"/>
      <c r="M64" s="305"/>
      <c r="N64" s="307"/>
      <c r="O64" s="285"/>
      <c r="P64" s="739">
        <f>ROUND(F64/12*H64*J64+F64/12*L64*N64, 0)*C64</f>
        <v>0</v>
      </c>
      <c r="Q64" s="739"/>
      <c r="T64" s="337"/>
      <c r="U64" s="460"/>
      <c r="V64" s="305"/>
      <c r="W64" s="307"/>
      <c r="X64" s="307"/>
      <c r="Y64" s="460"/>
      <c r="Z64" s="305"/>
      <c r="AA64" s="307"/>
      <c r="AC64" s="739">
        <f>ROUND((VLOOKUP($D64,Salaries!$A$3:$I$370,9,FALSE)*U64*W64*(1+COLA/100)*(1+COLA/100)*(1+COLA/100)*(1+COLA/100))+(VLOOKUP($D64,Salaries!$A$3:$I$370,9,FALSE)*Y64*AA64*(1+COLA/100)*(1+COLA/100)*(1+COLA/100)*(1+COLA/100)),0)*C64</f>
        <v>0</v>
      </c>
      <c r="AD64" s="739"/>
      <c r="AE64" s="336"/>
      <c r="AH64" s="152">
        <f>U64+H64</f>
        <v>0</v>
      </c>
      <c r="AI64" s="152"/>
      <c r="AJ64" s="286">
        <f>W64+J64</f>
        <v>0</v>
      </c>
      <c r="AK64" s="152"/>
      <c r="AL64" s="152">
        <f>Y64+L64</f>
        <v>0</v>
      </c>
      <c r="AM64" s="152"/>
      <c r="AN64" s="286">
        <f>AA64+N64</f>
        <v>0</v>
      </c>
      <c r="AO64" s="279"/>
      <c r="AP64" s="765">
        <f>ROUND(SUM(P64:Q65)+SUM(AC64:AD65),0)</f>
        <v>0</v>
      </c>
      <c r="AQ64" s="765"/>
      <c r="AS64" s="323"/>
      <c r="AU64" s="322"/>
      <c r="AW64" s="107">
        <f>P64</f>
        <v>0</v>
      </c>
      <c r="AY64" s="107">
        <f>ROUND(AC64,0)</f>
        <v>0</v>
      </c>
      <c r="BA64" s="108">
        <f>ROUND(AY64+AW64,0)</f>
        <v>0</v>
      </c>
    </row>
    <row r="65" spans="1:59" x14ac:dyDescent="0.3">
      <c r="C65" s="125"/>
      <c r="D65" s="106" t="str">
        <f>"Fringe @ "&amp;TEXT(StuFRINGE+FrCOLA+FrCOLA+FrCOLA,"0.00%")</f>
        <v>Fringe @ 7.99%</v>
      </c>
      <c r="H65" s="122"/>
      <c r="I65" s="122"/>
      <c r="J65" s="122"/>
      <c r="K65" s="122"/>
      <c r="L65" s="122"/>
      <c r="M65" s="122"/>
      <c r="N65" s="122"/>
      <c r="O65" s="283"/>
      <c r="Q65" s="180">
        <f>ROUND(P64*StuFRINGE*(1+FrCOLA+FrCOLA+FrCOLA+FrCOLA),0)</f>
        <v>0</v>
      </c>
      <c r="T65" s="337"/>
      <c r="U65" s="122"/>
      <c r="V65" s="122"/>
      <c r="W65" s="122"/>
      <c r="X65" s="122"/>
      <c r="Y65" s="122"/>
      <c r="Z65" s="122"/>
      <c r="AA65" s="122"/>
      <c r="AC65" s="180"/>
      <c r="AD65" s="180">
        <f>ROUND(AC64*StuFRINGE*(1+FrCOLA+FrCOLA+FrCOLA+FrCOLA),0)</f>
        <v>0</v>
      </c>
      <c r="AE65" s="336"/>
      <c r="AH65" s="152"/>
      <c r="AI65" s="152"/>
      <c r="AJ65" s="152"/>
      <c r="AK65" s="152"/>
      <c r="AL65" s="152"/>
      <c r="AM65" s="152"/>
      <c r="AN65" s="152"/>
      <c r="AO65" s="279"/>
      <c r="AP65" s="765"/>
      <c r="AQ65" s="765"/>
      <c r="AS65" s="323"/>
      <c r="AU65" s="322"/>
      <c r="BC65" s="107">
        <f>ROUND(Q65,0)</f>
        <v>0</v>
      </c>
      <c r="BE65" s="107">
        <f>ROUND(AD65,0)</f>
        <v>0</v>
      </c>
      <c r="BG65" s="108">
        <f>ROUND(BE65+BC65,0)</f>
        <v>0</v>
      </c>
    </row>
    <row r="66" spans="1:59" ht="3" customHeight="1" x14ac:dyDescent="0.3">
      <c r="B66" s="773"/>
      <c r="C66" s="773"/>
      <c r="D66" s="773"/>
      <c r="E66" s="773"/>
      <c r="F66" s="773"/>
      <c r="G66" s="773"/>
      <c r="H66" s="773"/>
      <c r="I66" s="773"/>
      <c r="J66" s="773"/>
      <c r="K66" s="773"/>
      <c r="L66" s="773"/>
      <c r="P66" s="739"/>
      <c r="Q66" s="739"/>
      <c r="T66" s="337"/>
      <c r="AC66" s="724"/>
      <c r="AD66" s="724"/>
      <c r="AE66" s="336"/>
      <c r="AP66" s="774"/>
      <c r="AQ66" s="774"/>
      <c r="AS66" s="323"/>
      <c r="AU66" s="322"/>
    </row>
    <row r="67" spans="1:59" x14ac:dyDescent="0.3">
      <c r="B67" s="164" t="str">
        <f>CONCATENATE("TOTAL ",B45)</f>
        <v>TOTAL OTHER PERSONNEL</v>
      </c>
      <c r="C67" s="165"/>
      <c r="D67" s="166"/>
      <c r="E67" s="166"/>
      <c r="F67" s="292"/>
      <c r="G67" s="292"/>
      <c r="H67" s="293"/>
      <c r="I67" s="293"/>
      <c r="J67" s="293"/>
      <c r="K67" s="293"/>
      <c r="L67" s="293"/>
      <c r="M67" s="293"/>
      <c r="N67" s="293"/>
      <c r="O67" s="293"/>
      <c r="P67" s="761">
        <f>ROUND(SUM(P46:Q66),0)</f>
        <v>0</v>
      </c>
      <c r="Q67" s="761"/>
      <c r="R67" s="293"/>
      <c r="S67" s="293"/>
      <c r="T67" s="343"/>
      <c r="U67" s="293"/>
      <c r="V67" s="293"/>
      <c r="W67" s="293"/>
      <c r="X67" s="293"/>
      <c r="Y67" s="293"/>
      <c r="Z67" s="293"/>
      <c r="AA67" s="293"/>
      <c r="AB67" s="293"/>
      <c r="AC67" s="732">
        <f>ROUND(SUM(AC46:AD66),0)</f>
        <v>0</v>
      </c>
      <c r="AD67" s="732"/>
      <c r="AE67" s="344"/>
      <c r="AF67" s="293"/>
      <c r="AG67" s="293"/>
      <c r="AH67" s="293"/>
      <c r="AI67" s="293"/>
      <c r="AJ67" s="293"/>
      <c r="AK67" s="293"/>
      <c r="AL67" s="293"/>
      <c r="AM67" s="293"/>
      <c r="AN67" s="293"/>
      <c r="AO67" s="293"/>
      <c r="AP67" s="761">
        <f>ROUND(SUM(AP46:AQ66),0)</f>
        <v>0</v>
      </c>
      <c r="AQ67" s="761"/>
      <c r="AS67" s="323"/>
      <c r="AU67" s="322"/>
      <c r="AW67" s="128">
        <f>ROUND(SUM(AW12:AW66),0)</f>
        <v>0</v>
      </c>
      <c r="AX67" s="126"/>
      <c r="AY67" s="128">
        <f>ROUND(SUM(AY12:AY66),0)</f>
        <v>0</v>
      </c>
      <c r="AZ67" s="126"/>
      <c r="BA67" s="128">
        <f>ROUND(SUM(BA12:BA66),0)</f>
        <v>0</v>
      </c>
      <c r="BB67" s="126"/>
      <c r="BC67" s="128">
        <f>ROUND(SUM(BC12:BC66),0)</f>
        <v>0</v>
      </c>
      <c r="BD67" s="126"/>
      <c r="BE67" s="128">
        <f>ROUND(SUM(BE12:BE66),0)</f>
        <v>0</v>
      </c>
      <c r="BF67" s="126"/>
      <c r="BG67" s="128">
        <f>ROUND(SUM(BG12:BG66),0)</f>
        <v>0</v>
      </c>
    </row>
    <row r="68" spans="1:59" ht="3" customHeight="1" x14ac:dyDescent="0.3">
      <c r="D68" s="115"/>
      <c r="E68" s="115"/>
      <c r="T68" s="337"/>
      <c r="AE68" s="336"/>
      <c r="AS68" s="323"/>
      <c r="AU68" s="322"/>
      <c r="AY68" s="157" t="s">
        <v>800</v>
      </c>
      <c r="BE68" s="117" t="s">
        <v>801</v>
      </c>
    </row>
    <row r="69" spans="1:59" x14ac:dyDescent="0.3">
      <c r="A69" s="109" t="s">
        <v>184</v>
      </c>
      <c r="B69" s="109" t="s">
        <v>769</v>
      </c>
      <c r="C69" s="109"/>
      <c r="D69" s="115"/>
      <c r="E69" s="115"/>
      <c r="T69" s="337"/>
      <c r="AE69" s="336"/>
      <c r="AS69" s="323"/>
      <c r="AU69" s="322"/>
    </row>
    <row r="70" spans="1:59" x14ac:dyDescent="0.3">
      <c r="D70" s="115"/>
      <c r="E70" s="115"/>
      <c r="P70" s="739"/>
      <c r="Q70" s="739"/>
      <c r="T70" s="337"/>
      <c r="AC70" s="739"/>
      <c r="AD70" s="739"/>
      <c r="AE70" s="336"/>
      <c r="AP70" s="765">
        <f>ROUND(SUM(P70:AE70),0)</f>
        <v>0</v>
      </c>
      <c r="AQ70" s="765"/>
      <c r="AS70" s="519">
        <f>P70</f>
        <v>0</v>
      </c>
      <c r="AU70" s="520">
        <f>AC70</f>
        <v>0</v>
      </c>
    </row>
    <row r="71" spans="1:59" x14ac:dyDescent="0.3">
      <c r="D71" s="115"/>
      <c r="E71" s="115"/>
      <c r="P71" s="739"/>
      <c r="Q71" s="739"/>
      <c r="T71" s="337"/>
      <c r="AC71" s="739"/>
      <c r="AD71" s="739"/>
      <c r="AE71" s="336"/>
      <c r="AP71" s="765">
        <f>ROUND(SUM(P71:AE71),0)</f>
        <v>0</v>
      </c>
      <c r="AQ71" s="765"/>
      <c r="AS71" s="519">
        <f>P71</f>
        <v>0</v>
      </c>
      <c r="AU71" s="520">
        <f>AD71</f>
        <v>0</v>
      </c>
    </row>
    <row r="72" spans="1:59" x14ac:dyDescent="0.3">
      <c r="D72" s="115"/>
      <c r="E72" s="115"/>
      <c r="P72" s="739"/>
      <c r="Q72" s="739"/>
      <c r="T72" s="337"/>
      <c r="AC72" s="739"/>
      <c r="AD72" s="739"/>
      <c r="AE72" s="336"/>
      <c r="AP72" s="765">
        <f>ROUND(SUM(P72:AE72),0)</f>
        <v>0</v>
      </c>
      <c r="AQ72" s="765"/>
      <c r="AS72" s="519">
        <f>P72</f>
        <v>0</v>
      </c>
      <c r="AU72" s="520">
        <f>AD72</f>
        <v>0</v>
      </c>
    </row>
    <row r="73" spans="1:59" ht="12.75" customHeight="1" x14ac:dyDescent="0.3">
      <c r="D73" s="115"/>
      <c r="E73" s="115"/>
      <c r="P73" s="739"/>
      <c r="Q73" s="739"/>
      <c r="T73" s="337"/>
      <c r="AC73" s="739"/>
      <c r="AD73" s="739"/>
      <c r="AE73" s="336"/>
      <c r="AP73" s="765">
        <f t="shared" ref="AP73:AP74" si="0">ROUND(SUM(P73:AE73),0)</f>
        <v>0</v>
      </c>
      <c r="AQ73" s="765"/>
      <c r="AS73" s="519">
        <f>P73</f>
        <v>0</v>
      </c>
      <c r="AU73" s="520">
        <f>AD73</f>
        <v>0</v>
      </c>
    </row>
    <row r="74" spans="1:59" ht="12.75" customHeight="1" x14ac:dyDescent="0.3">
      <c r="D74" s="115"/>
      <c r="E74" s="115"/>
      <c r="P74" s="739"/>
      <c r="Q74" s="739"/>
      <c r="T74" s="337"/>
      <c r="AC74" s="739"/>
      <c r="AD74" s="739"/>
      <c r="AE74" s="336"/>
      <c r="AP74" s="765">
        <f t="shared" si="0"/>
        <v>0</v>
      </c>
      <c r="AQ74" s="765"/>
      <c r="AS74" s="519">
        <f>P74</f>
        <v>0</v>
      </c>
      <c r="AU74" s="520">
        <f>AD74</f>
        <v>0</v>
      </c>
    </row>
    <row r="75" spans="1:59" ht="3" customHeight="1" x14ac:dyDescent="0.3">
      <c r="B75" s="773"/>
      <c r="C75" s="773"/>
      <c r="D75" s="773"/>
      <c r="E75" s="773"/>
      <c r="F75" s="773"/>
      <c r="G75" s="773"/>
      <c r="H75" s="773"/>
      <c r="I75" s="773"/>
      <c r="J75" s="773"/>
      <c r="K75" s="773"/>
      <c r="L75" s="773"/>
      <c r="P75" s="739"/>
      <c r="Q75" s="739"/>
      <c r="T75" s="337"/>
      <c r="AC75" s="724"/>
      <c r="AD75" s="724"/>
      <c r="AE75" s="336"/>
      <c r="AP75" s="739"/>
      <c r="AQ75" s="739"/>
      <c r="AS75" s="323"/>
      <c r="AU75" s="322"/>
    </row>
    <row r="76" spans="1:59" x14ac:dyDescent="0.3">
      <c r="B76" s="164" t="str">
        <f>CONCATENATE("TOTAL ",B69)</f>
        <v>TOTAL EQUIPMENT</v>
      </c>
      <c r="C76" s="165"/>
      <c r="D76" s="168"/>
      <c r="E76" s="168"/>
      <c r="F76" s="294"/>
      <c r="G76" s="294"/>
      <c r="H76" s="293"/>
      <c r="I76" s="293"/>
      <c r="J76" s="293"/>
      <c r="K76" s="293"/>
      <c r="L76" s="293"/>
      <c r="M76" s="293"/>
      <c r="N76" s="293"/>
      <c r="O76" s="293"/>
      <c r="P76" s="761">
        <f>ROUND(SUM(P69:Q75),0)</f>
        <v>0</v>
      </c>
      <c r="Q76" s="761"/>
      <c r="R76" s="293"/>
      <c r="S76" s="293"/>
      <c r="T76" s="343"/>
      <c r="U76" s="293"/>
      <c r="V76" s="293"/>
      <c r="W76" s="293"/>
      <c r="X76" s="293"/>
      <c r="Y76" s="293"/>
      <c r="Z76" s="293"/>
      <c r="AA76" s="293"/>
      <c r="AB76" s="293"/>
      <c r="AC76" s="732">
        <f>ROUND(SUM(AC69:AD75),0)</f>
        <v>0</v>
      </c>
      <c r="AD76" s="732"/>
      <c r="AE76" s="344"/>
      <c r="AF76" s="293"/>
      <c r="AG76" s="293"/>
      <c r="AH76" s="293"/>
      <c r="AI76" s="293"/>
      <c r="AJ76" s="293"/>
      <c r="AK76" s="293"/>
      <c r="AL76" s="293"/>
      <c r="AM76" s="293"/>
      <c r="AN76" s="293"/>
      <c r="AO76" s="293"/>
      <c r="AP76" s="761">
        <f>ROUND(SUM(AP69:AQ75),0)</f>
        <v>0</v>
      </c>
      <c r="AQ76" s="761"/>
      <c r="AS76" s="323"/>
      <c r="AU76" s="322"/>
    </row>
    <row r="77" spans="1:59" ht="3" customHeight="1" x14ac:dyDescent="0.3">
      <c r="D77" s="115"/>
      <c r="E77" s="115"/>
      <c r="T77" s="337"/>
      <c r="AE77" s="336"/>
      <c r="AP77" s="180"/>
      <c r="AQ77" s="180"/>
      <c r="AS77" s="323"/>
      <c r="AU77" s="322"/>
    </row>
    <row r="78" spans="1:59" x14ac:dyDescent="0.3">
      <c r="A78" s="109" t="s">
        <v>670</v>
      </c>
      <c r="B78" s="109" t="s">
        <v>765</v>
      </c>
      <c r="C78" s="109"/>
      <c r="D78" s="115"/>
      <c r="E78" s="115"/>
      <c r="P78" s="295"/>
      <c r="Q78" s="295"/>
      <c r="T78" s="337"/>
      <c r="AC78" s="130"/>
      <c r="AD78" s="130"/>
      <c r="AE78" s="336"/>
      <c r="AP78" s="180"/>
      <c r="AQ78" s="295"/>
      <c r="AS78" s="323"/>
      <c r="AU78" s="322"/>
    </row>
    <row r="79" spans="1:59" ht="29.25" customHeight="1" x14ac:dyDescent="0.3">
      <c r="A79" s="109"/>
      <c r="B79" s="131" t="s">
        <v>802</v>
      </c>
      <c r="C79" s="109" t="s">
        <v>705</v>
      </c>
      <c r="D79" s="115"/>
      <c r="E79" s="115"/>
      <c r="F79" s="157" t="s">
        <v>175</v>
      </c>
      <c r="G79" s="157"/>
      <c r="H79" s="117" t="s">
        <v>803</v>
      </c>
      <c r="I79" s="117"/>
      <c r="J79" s="540" t="s">
        <v>804</v>
      </c>
      <c r="K79" s="106"/>
      <c r="L79" s="540" t="s">
        <v>805</v>
      </c>
      <c r="M79" s="119"/>
      <c r="N79" s="119"/>
      <c r="O79" s="106"/>
      <c r="P79" s="130"/>
      <c r="Q79" s="130"/>
      <c r="T79" s="337"/>
      <c r="Y79" s="283"/>
      <c r="Z79" s="283"/>
      <c r="AA79" s="283"/>
      <c r="AC79" s="130"/>
      <c r="AD79" s="130"/>
      <c r="AE79" s="336"/>
      <c r="AL79" s="283"/>
      <c r="AM79" s="283"/>
      <c r="AN79" s="283"/>
      <c r="AP79" s="180"/>
      <c r="AQ79" s="295"/>
      <c r="AS79" s="323"/>
      <c r="AU79" s="322"/>
    </row>
    <row r="80" spans="1:59" x14ac:dyDescent="0.3">
      <c r="B80" s="125"/>
      <c r="D80" s="106">
        <f>'YEAR 1'!D80</f>
        <v>0</v>
      </c>
      <c r="E80" s="115"/>
      <c r="F80" s="157"/>
      <c r="G80" s="107"/>
      <c r="H80" s="106"/>
      <c r="I80" s="106"/>
      <c r="J80" s="106"/>
      <c r="K80" s="106"/>
      <c r="L80" s="119"/>
      <c r="M80" s="119"/>
      <c r="N80" s="119"/>
      <c r="O80" s="106"/>
      <c r="P80" s="130"/>
      <c r="Q80" s="130"/>
      <c r="T80" s="337"/>
      <c r="AC80" s="724"/>
      <c r="AD80" s="724"/>
      <c r="AE80" s="336"/>
      <c r="AP80" s="765"/>
      <c r="AQ80" s="765"/>
      <c r="AS80" s="323"/>
      <c r="AU80" s="322"/>
    </row>
    <row r="81" spans="2:47" x14ac:dyDescent="0.3">
      <c r="B81" s="125"/>
      <c r="C81" s="106" t="s">
        <v>806</v>
      </c>
      <c r="D81" s="115"/>
      <c r="E81" s="115"/>
      <c r="F81" s="107">
        <v>750</v>
      </c>
      <c r="G81" s="107"/>
      <c r="H81" s="106"/>
      <c r="I81" s="106"/>
      <c r="J81" s="106">
        <v>0</v>
      </c>
      <c r="K81" s="106"/>
      <c r="L81" s="106">
        <v>1</v>
      </c>
      <c r="M81" s="119"/>
      <c r="N81" s="119"/>
      <c r="O81" s="106"/>
      <c r="P81" s="724">
        <f>J81*F81*L81</f>
        <v>0</v>
      </c>
      <c r="Q81" s="724"/>
      <c r="T81" s="337"/>
      <c r="AC81" s="724"/>
      <c r="AD81" s="724"/>
      <c r="AE81" s="336"/>
      <c r="AP81" s="765">
        <f>ROUND(SUM(P81:AE81),0)</f>
        <v>0</v>
      </c>
      <c r="AQ81" s="765"/>
      <c r="AS81" s="323"/>
      <c r="AU81" s="322"/>
    </row>
    <row r="82" spans="2:47" x14ac:dyDescent="0.3">
      <c r="B82" s="125"/>
      <c r="C82" s="106" t="s">
        <v>807</v>
      </c>
      <c r="D82" s="115"/>
      <c r="E82" s="115"/>
      <c r="F82" s="107">
        <v>175</v>
      </c>
      <c r="G82" s="107"/>
      <c r="H82" s="106">
        <v>0</v>
      </c>
      <c r="I82" s="106"/>
      <c r="J82" s="106">
        <v>0</v>
      </c>
      <c r="K82" s="106"/>
      <c r="L82" s="106">
        <v>1</v>
      </c>
      <c r="M82" s="106"/>
      <c r="N82" s="106"/>
      <c r="O82" s="106"/>
      <c r="P82" s="724">
        <f>J82*F82*H82*L82</f>
        <v>0</v>
      </c>
      <c r="Q82" s="724"/>
      <c r="T82" s="337"/>
      <c r="AC82" s="724"/>
      <c r="AD82" s="724"/>
      <c r="AE82" s="336"/>
      <c r="AP82" s="765">
        <f>ROUND(SUM(P82:AE82),0)</f>
        <v>0</v>
      </c>
      <c r="AQ82" s="765"/>
      <c r="AS82" s="323"/>
      <c r="AU82" s="322"/>
    </row>
    <row r="83" spans="2:47" x14ac:dyDescent="0.3">
      <c r="B83" s="125"/>
      <c r="C83" s="106" t="s">
        <v>808</v>
      </c>
      <c r="D83" s="115"/>
      <c r="E83" s="115"/>
      <c r="F83" s="107">
        <f>Data!E40</f>
        <v>56</v>
      </c>
      <c r="G83" s="107"/>
      <c r="H83" s="106">
        <v>0</v>
      </c>
      <c r="I83" s="106"/>
      <c r="J83" s="106">
        <v>0</v>
      </c>
      <c r="K83" s="106"/>
      <c r="L83" s="106">
        <v>1</v>
      </c>
      <c r="M83" s="106"/>
      <c r="N83" s="106"/>
      <c r="O83" s="106"/>
      <c r="P83" s="724">
        <f t="shared" ref="P83" si="1">J83*F83*H83*L83</f>
        <v>0</v>
      </c>
      <c r="Q83" s="724"/>
      <c r="T83" s="337"/>
      <c r="AC83" s="724"/>
      <c r="AD83" s="724"/>
      <c r="AE83" s="336"/>
      <c r="AP83" s="765">
        <f>ROUND(SUM(P83:AE83),0)</f>
        <v>0</v>
      </c>
      <c r="AQ83" s="765"/>
      <c r="AS83" s="323"/>
      <c r="AU83" s="322"/>
    </row>
    <row r="84" spans="2:47" x14ac:dyDescent="0.3">
      <c r="B84" s="125"/>
      <c r="C84" s="482" t="s">
        <v>810</v>
      </c>
      <c r="D84" s="115"/>
      <c r="E84" s="115"/>
      <c r="F84" s="107">
        <v>150</v>
      </c>
      <c r="G84" s="107"/>
      <c r="H84" s="106"/>
      <c r="I84" s="106"/>
      <c r="J84" s="106">
        <v>0</v>
      </c>
      <c r="K84" s="106"/>
      <c r="L84" s="106">
        <v>1</v>
      </c>
      <c r="M84" s="106"/>
      <c r="N84" s="106"/>
      <c r="O84" s="106"/>
      <c r="P84" s="724">
        <f>J84*F84*L84</f>
        <v>0</v>
      </c>
      <c r="Q84" s="724"/>
      <c r="T84" s="337"/>
      <c r="AC84" s="724"/>
      <c r="AD84" s="724"/>
      <c r="AE84" s="336"/>
      <c r="AP84" s="765">
        <f>ROUND(SUM(P84:AE84),0)</f>
        <v>0</v>
      </c>
      <c r="AQ84" s="765"/>
      <c r="AS84" s="323"/>
      <c r="AU84" s="322"/>
    </row>
    <row r="85" spans="2:47" ht="3" customHeight="1" x14ac:dyDescent="0.3">
      <c r="B85" s="125"/>
      <c r="C85" s="482"/>
      <c r="D85" s="115"/>
      <c r="E85" s="115"/>
      <c r="G85" s="107"/>
      <c r="H85" s="106"/>
      <c r="I85" s="106"/>
      <c r="J85" s="106"/>
      <c r="K85" s="106"/>
      <c r="L85" s="106"/>
      <c r="M85" s="106"/>
      <c r="N85" s="106"/>
      <c r="O85" s="106"/>
      <c r="P85" s="107"/>
      <c r="Q85" s="107"/>
      <c r="T85" s="337"/>
      <c r="AE85" s="336"/>
      <c r="AP85" s="608"/>
      <c r="AQ85" s="608"/>
      <c r="AS85" s="323"/>
      <c r="AU85" s="322"/>
    </row>
    <row r="86" spans="2:47" x14ac:dyDescent="0.3">
      <c r="B86" s="125"/>
      <c r="C86" s="482"/>
      <c r="D86" s="106">
        <f>'YEAR 1'!D86</f>
        <v>0</v>
      </c>
      <c r="E86" s="115"/>
      <c r="G86" s="107"/>
      <c r="H86" s="106"/>
      <c r="I86" s="106"/>
      <c r="J86" s="106"/>
      <c r="K86" s="106"/>
      <c r="L86" s="106"/>
      <c r="M86" s="106"/>
      <c r="N86" s="106"/>
      <c r="O86" s="106"/>
      <c r="P86" s="107"/>
      <c r="Q86" s="107"/>
      <c r="T86" s="337"/>
      <c r="AE86" s="336"/>
      <c r="AP86" s="608"/>
      <c r="AQ86" s="608"/>
      <c r="AS86" s="323"/>
      <c r="AU86" s="322"/>
    </row>
    <row r="87" spans="2:47" x14ac:dyDescent="0.3">
      <c r="B87" s="125"/>
      <c r="C87" s="106" t="s">
        <v>806</v>
      </c>
      <c r="D87" s="115"/>
      <c r="E87" s="115"/>
      <c r="F87" s="107">
        <v>750</v>
      </c>
      <c r="G87" s="107"/>
      <c r="H87" s="106"/>
      <c r="I87" s="106"/>
      <c r="J87" s="106">
        <v>0</v>
      </c>
      <c r="K87" s="106"/>
      <c r="L87" s="106">
        <v>1</v>
      </c>
      <c r="M87" s="106"/>
      <c r="N87" s="106"/>
      <c r="O87" s="106"/>
      <c r="P87" s="724">
        <f>J87*F87*L87</f>
        <v>0</v>
      </c>
      <c r="Q87" s="724"/>
      <c r="T87" s="337"/>
      <c r="AE87" s="336"/>
      <c r="AP87" s="765">
        <f>ROUND(SUM(P87:AE87),0)</f>
        <v>0</v>
      </c>
      <c r="AQ87" s="765"/>
      <c r="AS87" s="323"/>
      <c r="AU87" s="322"/>
    </row>
    <row r="88" spans="2:47" x14ac:dyDescent="0.3">
      <c r="B88" s="125"/>
      <c r="C88" s="106" t="s">
        <v>807</v>
      </c>
      <c r="D88" s="115"/>
      <c r="E88" s="115"/>
      <c r="F88" s="107">
        <v>175</v>
      </c>
      <c r="G88" s="107"/>
      <c r="H88" s="106">
        <v>0</v>
      </c>
      <c r="I88" s="106"/>
      <c r="J88" s="106">
        <v>0</v>
      </c>
      <c r="K88" s="106"/>
      <c r="L88" s="106">
        <v>1</v>
      </c>
      <c r="M88" s="106"/>
      <c r="N88" s="106"/>
      <c r="O88" s="106"/>
      <c r="P88" s="724">
        <f>J88*F88*H88*L88</f>
        <v>0</v>
      </c>
      <c r="Q88" s="724"/>
      <c r="T88" s="337"/>
      <c r="AE88" s="336"/>
      <c r="AP88" s="765">
        <f>ROUND(SUM(P88:AE88),0)</f>
        <v>0</v>
      </c>
      <c r="AQ88" s="765"/>
      <c r="AS88" s="323"/>
      <c r="AU88" s="322"/>
    </row>
    <row r="89" spans="2:47" x14ac:dyDescent="0.3">
      <c r="B89" s="125"/>
      <c r="C89" s="106" t="s">
        <v>808</v>
      </c>
      <c r="D89" s="115"/>
      <c r="E89" s="115"/>
      <c r="F89" s="107">
        <f>Data!E40</f>
        <v>56</v>
      </c>
      <c r="G89" s="107"/>
      <c r="H89" s="106">
        <v>0</v>
      </c>
      <c r="I89" s="106"/>
      <c r="J89" s="106">
        <v>0</v>
      </c>
      <c r="K89" s="106"/>
      <c r="L89" s="106">
        <v>1</v>
      </c>
      <c r="M89" s="106"/>
      <c r="N89" s="106"/>
      <c r="O89" s="106"/>
      <c r="P89" s="724">
        <f t="shared" ref="P89" si="2">J89*F89*H89*L89</f>
        <v>0</v>
      </c>
      <c r="Q89" s="724"/>
      <c r="T89" s="337"/>
      <c r="AE89" s="336"/>
      <c r="AP89" s="765">
        <f>ROUND(SUM(P89:AE89),0)</f>
        <v>0</v>
      </c>
      <c r="AQ89" s="765"/>
      <c r="AS89" s="323"/>
      <c r="AU89" s="322"/>
    </row>
    <row r="90" spans="2:47" x14ac:dyDescent="0.3">
      <c r="B90" s="125"/>
      <c r="C90" s="482" t="s">
        <v>810</v>
      </c>
      <c r="D90" s="115"/>
      <c r="E90" s="115"/>
      <c r="F90" s="107">
        <v>150</v>
      </c>
      <c r="G90" s="107"/>
      <c r="H90" s="106"/>
      <c r="I90" s="106"/>
      <c r="J90" s="106">
        <v>0</v>
      </c>
      <c r="K90" s="106"/>
      <c r="L90" s="106">
        <v>1</v>
      </c>
      <c r="M90" s="106"/>
      <c r="N90" s="106"/>
      <c r="O90" s="106"/>
      <c r="P90" s="724">
        <f>J90*F90*L90</f>
        <v>0</v>
      </c>
      <c r="Q90" s="724"/>
      <c r="T90" s="337"/>
      <c r="AE90" s="336"/>
      <c r="AP90" s="765">
        <f>ROUND(SUM(P90:AE90),0)</f>
        <v>0</v>
      </c>
      <c r="AQ90" s="765"/>
      <c r="AS90" s="323"/>
      <c r="AU90" s="322"/>
    </row>
    <row r="91" spans="2:47" ht="3" customHeight="1" x14ac:dyDescent="0.3">
      <c r="B91" s="125"/>
      <c r="D91" s="115"/>
      <c r="E91" s="115"/>
      <c r="G91" s="107"/>
      <c r="H91" s="134"/>
      <c r="I91" s="134"/>
      <c r="J91" s="134"/>
      <c r="K91" s="134"/>
      <c r="L91" s="134"/>
      <c r="M91" s="106"/>
      <c r="N91" s="106"/>
      <c r="O91" s="106"/>
      <c r="P91" s="106"/>
      <c r="Q91" s="106"/>
      <c r="R91" s="135"/>
      <c r="S91" s="135"/>
      <c r="T91" s="339"/>
      <c r="U91" s="135"/>
      <c r="V91" s="135"/>
      <c r="W91" s="135"/>
      <c r="X91" s="135"/>
      <c r="Y91" s="135"/>
      <c r="Z91" s="135"/>
      <c r="AA91" s="135"/>
      <c r="AB91" s="135"/>
      <c r="AC91" s="736"/>
      <c r="AD91" s="736"/>
      <c r="AE91" s="340"/>
      <c r="AF91" s="135"/>
      <c r="AG91" s="135"/>
      <c r="AH91" s="135"/>
      <c r="AI91" s="135"/>
      <c r="AJ91" s="135"/>
      <c r="AK91" s="135"/>
      <c r="AL91" s="135"/>
      <c r="AM91" s="135"/>
      <c r="AN91" s="135"/>
      <c r="AO91" s="135"/>
      <c r="AP91" s="763"/>
      <c r="AQ91" s="763"/>
      <c r="AS91" s="323"/>
      <c r="AU91" s="322"/>
    </row>
    <row r="92" spans="2:47" x14ac:dyDescent="0.3">
      <c r="B92" s="125"/>
      <c r="C92" s="109" t="str">
        <f>"Subtotal "&amp;C79</f>
        <v>Subtotal Domestic Travel</v>
      </c>
      <c r="D92" s="500"/>
      <c r="E92" s="500"/>
      <c r="F92" s="501"/>
      <c r="G92" s="501"/>
      <c r="H92" s="106"/>
      <c r="I92" s="106"/>
      <c r="J92" s="106"/>
      <c r="K92" s="106"/>
      <c r="L92" s="106"/>
      <c r="M92" s="297"/>
      <c r="N92" s="297"/>
      <c r="O92" s="297"/>
      <c r="P92" s="734">
        <f>ROUND(SUM(P80:Q91),0)</f>
        <v>0</v>
      </c>
      <c r="Q92" s="734"/>
      <c r="T92" s="337"/>
      <c r="AC92" s="737">
        <f>ROUND(SUM(AC80:AD91),0)</f>
        <v>0</v>
      </c>
      <c r="AD92" s="737"/>
      <c r="AE92" s="336"/>
      <c r="AP92" s="774">
        <f>ROUND(SUM(AP80:AQ91),0)</f>
        <v>0</v>
      </c>
      <c r="AQ92" s="774"/>
      <c r="AS92" s="323"/>
      <c r="AU92" s="322"/>
    </row>
    <row r="93" spans="2:47" ht="3" customHeight="1" x14ac:dyDescent="0.3">
      <c r="B93" s="125"/>
      <c r="D93" s="115"/>
      <c r="E93" s="115"/>
      <c r="H93" s="106"/>
      <c r="I93" s="106"/>
      <c r="J93" s="106"/>
      <c r="K93" s="106"/>
      <c r="L93" s="106"/>
      <c r="P93" s="107"/>
      <c r="Q93" s="107"/>
      <c r="T93" s="337"/>
      <c r="AE93" s="336"/>
      <c r="AP93" s="180"/>
      <c r="AQ93" s="180"/>
      <c r="AS93" s="323"/>
      <c r="AU93" s="322"/>
    </row>
    <row r="94" spans="2:47" ht="29.25" customHeight="1" x14ac:dyDescent="0.3">
      <c r="B94" s="131" t="s">
        <v>811</v>
      </c>
      <c r="C94" s="109" t="s">
        <v>707</v>
      </c>
      <c r="D94" s="115"/>
      <c r="E94" s="115"/>
      <c r="H94" s="106" t="s">
        <v>803</v>
      </c>
      <c r="I94" s="106"/>
      <c r="J94" s="540" t="s">
        <v>804</v>
      </c>
      <c r="K94" s="106"/>
      <c r="L94" s="540" t="s">
        <v>812</v>
      </c>
      <c r="P94" s="107"/>
      <c r="Q94" s="107"/>
      <c r="T94" s="337"/>
      <c r="AE94" s="336"/>
      <c r="AP94" s="180"/>
      <c r="AQ94" s="180"/>
      <c r="AS94" s="323"/>
      <c r="AU94" s="322"/>
    </row>
    <row r="95" spans="2:47" x14ac:dyDescent="0.3">
      <c r="B95" s="125"/>
      <c r="C95" s="109"/>
      <c r="D95" s="106">
        <f>'YEAR 1'!D95</f>
        <v>0</v>
      </c>
      <c r="E95" s="115"/>
      <c r="F95" s="157"/>
      <c r="G95" s="107"/>
      <c r="H95" s="106"/>
      <c r="I95" s="106"/>
      <c r="J95" s="106"/>
      <c r="K95" s="106"/>
      <c r="L95" s="119"/>
      <c r="M95" s="119"/>
      <c r="N95" s="119"/>
      <c r="O95" s="106"/>
      <c r="P95" s="130"/>
      <c r="Q95" s="130"/>
      <c r="T95" s="337"/>
      <c r="AC95" s="724"/>
      <c r="AD95" s="724"/>
      <c r="AE95" s="336"/>
      <c r="AP95" s="765">
        <f>ROUND(SUM(P95:AE95),0)</f>
        <v>0</v>
      </c>
      <c r="AQ95" s="765"/>
      <c r="AS95" s="323"/>
      <c r="AU95" s="322"/>
    </row>
    <row r="96" spans="2:47" x14ac:dyDescent="0.3">
      <c r="B96" s="125"/>
      <c r="C96" s="106" t="s">
        <v>806</v>
      </c>
      <c r="D96" s="115"/>
      <c r="E96" s="115"/>
      <c r="F96" s="180">
        <v>1300</v>
      </c>
      <c r="H96" s="106"/>
      <c r="I96" s="106"/>
      <c r="J96" s="106">
        <v>0</v>
      </c>
      <c r="K96" s="106"/>
      <c r="L96" s="106">
        <v>1</v>
      </c>
      <c r="M96" s="119"/>
      <c r="N96" s="119"/>
      <c r="O96" s="106"/>
      <c r="P96" s="724">
        <f>J96*F96*L96</f>
        <v>0</v>
      </c>
      <c r="Q96" s="724"/>
      <c r="T96" s="337"/>
      <c r="AC96" s="724"/>
      <c r="AD96" s="724"/>
      <c r="AE96" s="336"/>
      <c r="AP96" s="765">
        <f>ROUND(SUM(P96:AE96),0)</f>
        <v>0</v>
      </c>
      <c r="AQ96" s="765"/>
      <c r="AS96" s="323"/>
      <c r="AU96" s="322"/>
    </row>
    <row r="97" spans="1:47" x14ac:dyDescent="0.3">
      <c r="B97" s="125"/>
      <c r="C97" s="106" t="s">
        <v>807</v>
      </c>
      <c r="D97" s="115"/>
      <c r="E97" s="115"/>
      <c r="F97" s="180">
        <v>175</v>
      </c>
      <c r="H97" s="106"/>
      <c r="I97" s="106"/>
      <c r="J97" s="106">
        <v>0</v>
      </c>
      <c r="K97" s="106"/>
      <c r="L97" s="106">
        <v>1</v>
      </c>
      <c r="M97" s="106"/>
      <c r="N97" s="106"/>
      <c r="O97" s="106"/>
      <c r="P97" s="724">
        <f>J97*F97*H97*L97</f>
        <v>0</v>
      </c>
      <c r="Q97" s="724"/>
      <c r="T97" s="337"/>
      <c r="AC97" s="724"/>
      <c r="AD97" s="724"/>
      <c r="AE97" s="336"/>
      <c r="AP97" s="765">
        <f>ROUND(SUM(P97:AE97),0)</f>
        <v>0</v>
      </c>
      <c r="AQ97" s="765"/>
      <c r="AS97" s="323"/>
      <c r="AU97" s="322"/>
    </row>
    <row r="98" spans="1:47" x14ac:dyDescent="0.3">
      <c r="B98" s="125"/>
      <c r="C98" s="106" t="s">
        <v>808</v>
      </c>
      <c r="D98" s="115"/>
      <c r="E98" s="115"/>
      <c r="F98" s="180">
        <f>'YEAR 1'!F98</f>
        <v>60</v>
      </c>
      <c r="H98" s="106"/>
      <c r="I98" s="106"/>
      <c r="J98" s="106">
        <v>0</v>
      </c>
      <c r="K98" s="106"/>
      <c r="L98" s="106">
        <v>1</v>
      </c>
      <c r="M98" s="106"/>
      <c r="N98" s="106"/>
      <c r="O98" s="106"/>
      <c r="P98" s="724">
        <f t="shared" ref="P98" si="3">J98*F98*H98*L98</f>
        <v>0</v>
      </c>
      <c r="Q98" s="724"/>
      <c r="T98" s="337"/>
      <c r="AC98" s="724"/>
      <c r="AD98" s="724"/>
      <c r="AE98" s="336"/>
      <c r="AP98" s="765">
        <f>ROUND(SUM(P98:AE98),0)</f>
        <v>0</v>
      </c>
      <c r="AQ98" s="765"/>
      <c r="AS98" s="323"/>
      <c r="AU98" s="322"/>
    </row>
    <row r="99" spans="1:47" x14ac:dyDescent="0.3">
      <c r="B99" s="125"/>
      <c r="C99" s="482" t="s">
        <v>810</v>
      </c>
      <c r="D99" s="115"/>
      <c r="E99" s="115"/>
      <c r="F99" s="180">
        <v>200</v>
      </c>
      <c r="H99" s="106"/>
      <c r="I99" s="106"/>
      <c r="J99" s="106">
        <v>0</v>
      </c>
      <c r="K99" s="106"/>
      <c r="L99" s="106">
        <v>1</v>
      </c>
      <c r="M99" s="106"/>
      <c r="N99" s="106"/>
      <c r="O99" s="106"/>
      <c r="P99" s="724">
        <f>J99*F99*L99</f>
        <v>0</v>
      </c>
      <c r="Q99" s="724"/>
      <c r="T99" s="337"/>
      <c r="AC99" s="724"/>
      <c r="AD99" s="724"/>
      <c r="AE99" s="336"/>
      <c r="AP99" s="765">
        <f>ROUND(SUM(P99:AE99),0)</f>
        <v>0</v>
      </c>
      <c r="AQ99" s="765"/>
      <c r="AS99" s="323"/>
      <c r="AU99" s="322"/>
    </row>
    <row r="100" spans="1:47" ht="3" customHeight="1" x14ac:dyDescent="0.3">
      <c r="B100" s="125"/>
      <c r="D100" s="115"/>
      <c r="E100" s="115"/>
      <c r="G100" s="107"/>
      <c r="H100" s="106"/>
      <c r="I100" s="106"/>
      <c r="J100" s="106"/>
      <c r="K100" s="106"/>
      <c r="L100" s="106"/>
      <c r="M100" s="106"/>
      <c r="N100" s="106"/>
      <c r="O100" s="106"/>
      <c r="P100" s="106"/>
      <c r="Q100" s="106"/>
      <c r="R100" s="135"/>
      <c r="S100" s="135"/>
      <c r="T100" s="339"/>
      <c r="U100" s="135"/>
      <c r="V100" s="135"/>
      <c r="W100" s="135"/>
      <c r="X100" s="135"/>
      <c r="Y100" s="135"/>
      <c r="Z100" s="135"/>
      <c r="AA100" s="135"/>
      <c r="AB100" s="135"/>
      <c r="AC100" s="736"/>
      <c r="AD100" s="736"/>
      <c r="AE100" s="340"/>
      <c r="AF100" s="135"/>
      <c r="AG100" s="135"/>
      <c r="AH100" s="135"/>
      <c r="AI100" s="135"/>
      <c r="AJ100" s="135"/>
      <c r="AK100" s="135"/>
      <c r="AL100" s="135"/>
      <c r="AM100" s="135"/>
      <c r="AN100" s="135"/>
      <c r="AO100" s="135"/>
      <c r="AP100" s="763"/>
      <c r="AQ100" s="763"/>
      <c r="AS100" s="323"/>
      <c r="AU100" s="322"/>
    </row>
    <row r="101" spans="1:47" x14ac:dyDescent="0.3">
      <c r="B101" s="125"/>
      <c r="C101" s="109" t="str">
        <f>"Subtotal "&amp;C94</f>
        <v>Subtotal International Travel</v>
      </c>
      <c r="D101" s="500"/>
      <c r="E101" s="500"/>
      <c r="F101" s="501"/>
      <c r="G101" s="501"/>
      <c r="H101" s="297"/>
      <c r="I101" s="297"/>
      <c r="J101" s="297"/>
      <c r="K101" s="297"/>
      <c r="L101" s="297"/>
      <c r="M101" s="297"/>
      <c r="N101" s="297"/>
      <c r="O101" s="297"/>
      <c r="P101" s="762">
        <f>ROUND(SUM(P95:Q100),0)</f>
        <v>0</v>
      </c>
      <c r="Q101" s="762"/>
      <c r="R101" s="297"/>
      <c r="S101" s="297"/>
      <c r="T101" s="331"/>
      <c r="U101" s="297"/>
      <c r="V101" s="297"/>
      <c r="W101" s="297"/>
      <c r="X101" s="297"/>
      <c r="Y101" s="297"/>
      <c r="Z101" s="297"/>
      <c r="AA101" s="297"/>
      <c r="AB101" s="297"/>
      <c r="AC101" s="734">
        <f>ROUND(SUM(AC95:AD100),0)</f>
        <v>0</v>
      </c>
      <c r="AD101" s="734"/>
      <c r="AE101" s="332"/>
      <c r="AF101" s="297"/>
      <c r="AG101" s="297"/>
      <c r="AH101" s="297"/>
      <c r="AI101" s="297"/>
      <c r="AJ101" s="297"/>
      <c r="AK101" s="297"/>
      <c r="AL101" s="297"/>
      <c r="AM101" s="297"/>
      <c r="AN101" s="297"/>
      <c r="AO101" s="297"/>
      <c r="AP101" s="762">
        <f>ROUND(SUM(AP95:AQ100),0)</f>
        <v>0</v>
      </c>
      <c r="AQ101" s="762"/>
      <c r="AS101" s="323"/>
      <c r="AU101" s="322"/>
    </row>
    <row r="102" spans="1:47" ht="3" customHeight="1" x14ac:dyDescent="0.3">
      <c r="B102" s="772"/>
      <c r="C102" s="772"/>
      <c r="D102" s="772"/>
      <c r="E102" s="772"/>
      <c r="F102" s="772"/>
      <c r="G102" s="772"/>
      <c r="H102" s="772"/>
      <c r="I102" s="772"/>
      <c r="J102" s="772"/>
      <c r="K102" s="772"/>
      <c r="L102" s="772"/>
      <c r="M102" s="135"/>
      <c r="N102" s="135"/>
      <c r="O102" s="135"/>
      <c r="P102" s="763"/>
      <c r="Q102" s="763"/>
      <c r="R102" s="135"/>
      <c r="S102" s="135"/>
      <c r="T102" s="339"/>
      <c r="U102" s="135"/>
      <c r="V102" s="135"/>
      <c r="W102" s="135"/>
      <c r="X102" s="135"/>
      <c r="Y102" s="135"/>
      <c r="Z102" s="135"/>
      <c r="AA102" s="135"/>
      <c r="AB102" s="135"/>
      <c r="AC102" s="736"/>
      <c r="AD102" s="736"/>
      <c r="AE102" s="340"/>
      <c r="AF102" s="135"/>
      <c r="AG102" s="135"/>
      <c r="AH102" s="135"/>
      <c r="AI102" s="135"/>
      <c r="AJ102" s="135"/>
      <c r="AK102" s="135"/>
      <c r="AL102" s="135"/>
      <c r="AM102" s="135"/>
      <c r="AN102" s="135"/>
      <c r="AO102" s="135"/>
      <c r="AP102" s="763"/>
      <c r="AQ102" s="763"/>
      <c r="AS102" s="323"/>
      <c r="AU102" s="322"/>
    </row>
    <row r="103" spans="1:47" x14ac:dyDescent="0.3">
      <c r="B103" s="158" t="str">
        <f>"TOTAL "&amp;B78</f>
        <v>TOTAL TRAVEL</v>
      </c>
      <c r="C103" s="159"/>
      <c r="D103" s="170"/>
      <c r="E103" s="170"/>
      <c r="F103" s="298"/>
      <c r="G103" s="298"/>
      <c r="H103" s="289"/>
      <c r="I103" s="289"/>
      <c r="J103" s="289"/>
      <c r="K103" s="289"/>
      <c r="L103" s="289"/>
      <c r="M103" s="289"/>
      <c r="N103" s="289"/>
      <c r="O103" s="289"/>
      <c r="P103" s="726">
        <f>ROUND(P101+P92,0)</f>
        <v>0</v>
      </c>
      <c r="Q103" s="726"/>
      <c r="R103" s="289"/>
      <c r="S103" s="289"/>
      <c r="T103" s="341"/>
      <c r="U103" s="289"/>
      <c r="V103" s="289"/>
      <c r="W103" s="289"/>
      <c r="X103" s="289"/>
      <c r="Y103" s="289"/>
      <c r="Z103" s="289"/>
      <c r="AA103" s="289"/>
      <c r="AB103" s="289"/>
      <c r="AC103" s="727">
        <f>ROUND(AC101+AC92,0)</f>
        <v>0</v>
      </c>
      <c r="AD103" s="727"/>
      <c r="AE103" s="342"/>
      <c r="AF103" s="289"/>
      <c r="AG103" s="289"/>
      <c r="AH103" s="289"/>
      <c r="AI103" s="289"/>
      <c r="AJ103" s="289"/>
      <c r="AK103" s="289"/>
      <c r="AL103" s="289"/>
      <c r="AM103" s="289"/>
      <c r="AN103" s="289"/>
      <c r="AO103" s="289"/>
      <c r="AP103" s="776">
        <f>ROUND(SUM(P103:AE103),0)</f>
        <v>0</v>
      </c>
      <c r="AQ103" s="776"/>
      <c r="AS103" s="323"/>
      <c r="AU103" s="322"/>
    </row>
    <row r="104" spans="1:47" ht="3" customHeight="1" x14ac:dyDescent="0.3">
      <c r="D104" s="115"/>
      <c r="E104" s="115"/>
      <c r="T104" s="337"/>
      <c r="AE104" s="336"/>
      <c r="AP104" s="180"/>
      <c r="AQ104" s="180"/>
      <c r="AS104" s="323"/>
      <c r="AU104" s="322"/>
    </row>
    <row r="105" spans="1:47" x14ac:dyDescent="0.3">
      <c r="A105" s="109" t="s">
        <v>672</v>
      </c>
      <c r="B105" s="109" t="s">
        <v>813</v>
      </c>
      <c r="D105" s="115"/>
      <c r="E105" s="115"/>
      <c r="T105" s="337"/>
      <c r="AE105" s="336"/>
      <c r="AP105" s="180"/>
      <c r="AQ105" s="180"/>
      <c r="AS105" s="323"/>
      <c r="AU105" s="322"/>
    </row>
    <row r="106" spans="1:47" x14ac:dyDescent="0.3">
      <c r="A106" s="109"/>
      <c r="B106" s="131" t="s">
        <v>802</v>
      </c>
      <c r="C106" s="109" t="s">
        <v>814</v>
      </c>
      <c r="D106" s="115"/>
      <c r="E106" s="115"/>
      <c r="T106" s="337"/>
      <c r="AE106" s="336"/>
      <c r="AP106" s="180"/>
      <c r="AQ106" s="180"/>
      <c r="AS106" s="323"/>
      <c r="AU106" s="322"/>
    </row>
    <row r="107" spans="1:47" x14ac:dyDescent="0.3">
      <c r="B107" s="125"/>
      <c r="D107" s="115"/>
      <c r="E107" s="115"/>
      <c r="P107" s="739"/>
      <c r="Q107" s="739"/>
      <c r="T107" s="337"/>
      <c r="AC107" s="724"/>
      <c r="AD107" s="724"/>
      <c r="AE107" s="336"/>
      <c r="AP107" s="765">
        <f>ROUND(SUM(P107:AE107),0)</f>
        <v>0</v>
      </c>
      <c r="AQ107" s="765"/>
      <c r="AS107" s="323"/>
      <c r="AU107" s="322"/>
    </row>
    <row r="108" spans="1:47" x14ac:dyDescent="0.3">
      <c r="B108" s="125"/>
      <c r="D108" s="115"/>
      <c r="E108" s="115"/>
      <c r="P108" s="739"/>
      <c r="Q108" s="739"/>
      <c r="T108" s="337"/>
      <c r="AC108" s="724"/>
      <c r="AD108" s="724"/>
      <c r="AE108" s="336"/>
      <c r="AP108" s="765">
        <f>ROUND(SUM(P108:AE108),0)</f>
        <v>0</v>
      </c>
      <c r="AQ108" s="765"/>
      <c r="AS108" s="323"/>
      <c r="AU108" s="322"/>
    </row>
    <row r="109" spans="1:47" x14ac:dyDescent="0.3">
      <c r="B109" s="125"/>
      <c r="D109" s="115"/>
      <c r="E109" s="115"/>
      <c r="P109" s="739"/>
      <c r="Q109" s="739"/>
      <c r="T109" s="337"/>
      <c r="AC109" s="724"/>
      <c r="AD109" s="724"/>
      <c r="AE109" s="336"/>
      <c r="AP109" s="765">
        <f>ROUND(SUM(P109:AE109),0)</f>
        <v>0</v>
      </c>
      <c r="AQ109" s="765"/>
      <c r="AS109" s="323"/>
      <c r="AU109" s="322"/>
    </row>
    <row r="110" spans="1:47" x14ac:dyDescent="0.3">
      <c r="B110" s="125"/>
      <c r="D110" s="115"/>
      <c r="E110" s="115"/>
      <c r="P110" s="739"/>
      <c r="Q110" s="739"/>
      <c r="T110" s="337"/>
      <c r="AC110" s="724"/>
      <c r="AD110" s="724"/>
      <c r="AE110" s="336"/>
      <c r="AP110" s="765">
        <f>ROUND(SUM(P110:AE110),0)</f>
        <v>0</v>
      </c>
      <c r="AQ110" s="765"/>
      <c r="AS110" s="323"/>
      <c r="AU110" s="322"/>
    </row>
    <row r="111" spans="1:47" x14ac:dyDescent="0.3">
      <c r="B111" s="125"/>
      <c r="D111" s="115"/>
      <c r="E111" s="115"/>
      <c r="P111" s="739"/>
      <c r="Q111" s="739"/>
      <c r="T111" s="337"/>
      <c r="AC111" s="724"/>
      <c r="AD111" s="724"/>
      <c r="AE111" s="336"/>
      <c r="AP111" s="765">
        <f>ROUND(SUM(P111:AE111),0)</f>
        <v>0</v>
      </c>
      <c r="AQ111" s="765"/>
      <c r="AS111" s="323"/>
      <c r="AU111" s="322"/>
    </row>
    <row r="112" spans="1:47" ht="4.5" customHeight="1" x14ac:dyDescent="0.3">
      <c r="B112" s="125"/>
      <c r="D112" s="132"/>
      <c r="E112" s="132"/>
      <c r="F112" s="296"/>
      <c r="G112" s="296"/>
      <c r="H112" s="135"/>
      <c r="I112" s="135"/>
      <c r="J112" s="135"/>
      <c r="K112" s="135"/>
      <c r="L112" s="135"/>
      <c r="M112" s="135"/>
      <c r="N112" s="135"/>
      <c r="O112" s="135"/>
      <c r="P112" s="763"/>
      <c r="Q112" s="763"/>
      <c r="R112" s="135"/>
      <c r="S112" s="135"/>
      <c r="T112" s="339"/>
      <c r="U112" s="135"/>
      <c r="V112" s="135"/>
      <c r="W112" s="135"/>
      <c r="X112" s="135"/>
      <c r="Y112" s="135"/>
      <c r="Z112" s="135"/>
      <c r="AA112" s="135"/>
      <c r="AB112" s="135"/>
      <c r="AC112" s="736"/>
      <c r="AD112" s="736"/>
      <c r="AE112" s="340"/>
      <c r="AF112" s="135"/>
      <c r="AG112" s="135"/>
      <c r="AH112" s="135"/>
      <c r="AI112" s="135"/>
      <c r="AJ112" s="135"/>
      <c r="AK112" s="135"/>
      <c r="AL112" s="135"/>
      <c r="AM112" s="135"/>
      <c r="AN112" s="135"/>
      <c r="AO112" s="135"/>
      <c r="AP112" s="763"/>
      <c r="AQ112" s="763"/>
      <c r="AS112" s="323"/>
      <c r="AU112" s="322"/>
    </row>
    <row r="113" spans="1:47" x14ac:dyDescent="0.3">
      <c r="B113" s="125"/>
      <c r="C113" s="109" t="str">
        <f>"Subtotal "&amp;C106</f>
        <v>Subtotal Tuition/Fees/Health Insurance</v>
      </c>
      <c r="D113" s="115"/>
      <c r="E113" s="115"/>
      <c r="P113" s="774">
        <f>ROUND(SUM(P107:Q112),0)</f>
        <v>0</v>
      </c>
      <c r="Q113" s="774"/>
      <c r="T113" s="337"/>
      <c r="AC113" s="737">
        <f>ROUND(SUM(AC107:AD112),0)</f>
        <v>0</v>
      </c>
      <c r="AD113" s="737"/>
      <c r="AE113" s="336"/>
      <c r="AP113" s="774">
        <f>ROUND(SUM(AP107:AQ112),0)</f>
        <v>0</v>
      </c>
      <c r="AQ113" s="774"/>
      <c r="AS113" s="323"/>
      <c r="AU113" s="322"/>
    </row>
    <row r="114" spans="1:47" ht="3.75" customHeight="1" x14ac:dyDescent="0.3">
      <c r="B114" s="125"/>
      <c r="C114" s="109"/>
      <c r="D114" s="115"/>
      <c r="E114" s="115"/>
      <c r="P114" s="278"/>
      <c r="Q114" s="278"/>
      <c r="T114" s="337"/>
      <c r="AC114" s="108"/>
      <c r="AD114" s="108"/>
      <c r="AE114" s="336"/>
      <c r="AS114" s="323"/>
      <c r="AU114" s="322"/>
    </row>
    <row r="115" spans="1:47" x14ac:dyDescent="0.3">
      <c r="A115" s="109"/>
      <c r="B115" s="131" t="s">
        <v>811</v>
      </c>
      <c r="C115" s="109" t="s">
        <v>713</v>
      </c>
      <c r="D115" s="115"/>
      <c r="E115" s="115"/>
      <c r="T115" s="337"/>
      <c r="AE115" s="336"/>
      <c r="AP115" s="180"/>
      <c r="AQ115" s="180"/>
      <c r="AS115" s="323"/>
      <c r="AU115" s="322"/>
    </row>
    <row r="116" spans="1:47" x14ac:dyDescent="0.3">
      <c r="B116" s="125"/>
      <c r="D116" s="115"/>
      <c r="E116" s="115"/>
      <c r="P116" s="739"/>
      <c r="Q116" s="739"/>
      <c r="T116" s="337"/>
      <c r="AC116" s="724"/>
      <c r="AD116" s="724"/>
      <c r="AE116" s="336"/>
      <c r="AP116" s="765">
        <f>ROUND(SUM(P116:AE116),0)</f>
        <v>0</v>
      </c>
      <c r="AQ116" s="765"/>
      <c r="AS116" s="323"/>
      <c r="AU116" s="322"/>
    </row>
    <row r="117" spans="1:47" x14ac:dyDescent="0.3">
      <c r="B117" s="125"/>
      <c r="D117" s="115"/>
      <c r="E117" s="115"/>
      <c r="P117" s="739"/>
      <c r="Q117" s="739"/>
      <c r="T117" s="337"/>
      <c r="AC117" s="724"/>
      <c r="AD117" s="724"/>
      <c r="AE117" s="336"/>
      <c r="AP117" s="765">
        <f>ROUND(SUM(P117:AE117),0)</f>
        <v>0</v>
      </c>
      <c r="AQ117" s="765"/>
      <c r="AS117" s="323"/>
      <c r="AU117" s="322"/>
    </row>
    <row r="118" spans="1:47" x14ac:dyDescent="0.3">
      <c r="B118" s="125"/>
      <c r="D118" s="115"/>
      <c r="E118" s="115"/>
      <c r="P118" s="739"/>
      <c r="Q118" s="739"/>
      <c r="T118" s="337"/>
      <c r="AC118" s="724"/>
      <c r="AD118" s="724"/>
      <c r="AE118" s="336"/>
      <c r="AP118" s="765">
        <f>ROUND(SUM(P118:AE118),0)</f>
        <v>0</v>
      </c>
      <c r="AQ118" s="765"/>
      <c r="AS118" s="323"/>
      <c r="AU118" s="322"/>
    </row>
    <row r="119" spans="1:47" x14ac:dyDescent="0.3">
      <c r="B119" s="125"/>
      <c r="D119" s="115"/>
      <c r="E119" s="115"/>
      <c r="P119" s="739"/>
      <c r="Q119" s="739"/>
      <c r="T119" s="337"/>
      <c r="AC119" s="724"/>
      <c r="AD119" s="724"/>
      <c r="AE119" s="336"/>
      <c r="AP119" s="765">
        <f>ROUND(SUM(P119:AE119),0)</f>
        <v>0</v>
      </c>
      <c r="AQ119" s="765"/>
      <c r="AS119" s="323"/>
      <c r="AU119" s="322"/>
    </row>
    <row r="120" spans="1:47" x14ac:dyDescent="0.3">
      <c r="B120" s="125"/>
      <c r="D120" s="115"/>
      <c r="E120" s="115"/>
      <c r="P120" s="739"/>
      <c r="Q120" s="739"/>
      <c r="T120" s="337"/>
      <c r="AC120" s="724"/>
      <c r="AD120" s="724"/>
      <c r="AE120" s="336"/>
      <c r="AP120" s="765">
        <f>ROUND(SUM(P120:AE120),0)</f>
        <v>0</v>
      </c>
      <c r="AQ120" s="765"/>
      <c r="AS120" s="323"/>
      <c r="AU120" s="322"/>
    </row>
    <row r="121" spans="1:47" ht="4.5" customHeight="1" x14ac:dyDescent="0.3">
      <c r="B121" s="125"/>
      <c r="D121" s="132"/>
      <c r="E121" s="132"/>
      <c r="F121" s="296"/>
      <c r="G121" s="296"/>
      <c r="H121" s="135"/>
      <c r="I121" s="135"/>
      <c r="J121" s="135"/>
      <c r="K121" s="135"/>
      <c r="L121" s="135"/>
      <c r="M121" s="135"/>
      <c r="N121" s="135"/>
      <c r="O121" s="135"/>
      <c r="P121" s="763"/>
      <c r="Q121" s="763"/>
      <c r="R121" s="135"/>
      <c r="S121" s="135"/>
      <c r="T121" s="339"/>
      <c r="U121" s="135"/>
      <c r="V121" s="135"/>
      <c r="W121" s="135"/>
      <c r="X121" s="135"/>
      <c r="Y121" s="135"/>
      <c r="Z121" s="135"/>
      <c r="AA121" s="135"/>
      <c r="AB121" s="135"/>
      <c r="AC121" s="736"/>
      <c r="AD121" s="736"/>
      <c r="AE121" s="340"/>
      <c r="AF121" s="135"/>
      <c r="AG121" s="135"/>
      <c r="AH121" s="135"/>
      <c r="AI121" s="135"/>
      <c r="AJ121" s="135"/>
      <c r="AK121" s="135"/>
      <c r="AL121" s="135"/>
      <c r="AM121" s="135"/>
      <c r="AN121" s="135"/>
      <c r="AO121" s="135"/>
      <c r="AP121" s="763"/>
      <c r="AQ121" s="763"/>
      <c r="AS121" s="323"/>
      <c r="AU121" s="322"/>
    </row>
    <row r="122" spans="1:47" x14ac:dyDescent="0.3">
      <c r="B122" s="125"/>
      <c r="C122" s="109" t="str">
        <f>"Subtotal "&amp;C115</f>
        <v>Subtotal Stipends</v>
      </c>
      <c r="D122" s="115"/>
      <c r="E122" s="115"/>
      <c r="P122" s="774">
        <f>ROUND(SUM(P116:Q121),0)</f>
        <v>0</v>
      </c>
      <c r="Q122" s="774"/>
      <c r="T122" s="337"/>
      <c r="AC122" s="737">
        <f>ROUND(SUM(AC116:AD121),0)</f>
        <v>0</v>
      </c>
      <c r="AD122" s="737"/>
      <c r="AE122" s="336"/>
      <c r="AP122" s="774">
        <f>ROUND(SUM(AP116:AQ121),0)</f>
        <v>0</v>
      </c>
      <c r="AQ122" s="774"/>
      <c r="AS122" s="323"/>
      <c r="AU122" s="322"/>
    </row>
    <row r="123" spans="1:47" ht="3.75" customHeight="1" x14ac:dyDescent="0.3">
      <c r="B123" s="125"/>
      <c r="C123" s="109"/>
      <c r="D123" s="115"/>
      <c r="E123" s="115"/>
      <c r="P123" s="278"/>
      <c r="Q123" s="278"/>
      <c r="T123" s="337"/>
      <c r="AC123" s="108"/>
      <c r="AD123" s="108"/>
      <c r="AE123" s="336"/>
      <c r="AS123" s="323"/>
      <c r="AU123" s="322"/>
    </row>
    <row r="124" spans="1:47" x14ac:dyDescent="0.3">
      <c r="A124" s="109"/>
      <c r="B124" s="131" t="s">
        <v>815</v>
      </c>
      <c r="C124" s="109" t="s">
        <v>703</v>
      </c>
      <c r="D124" s="115"/>
      <c r="E124" s="115"/>
      <c r="T124" s="337"/>
      <c r="AE124" s="336"/>
      <c r="AP124" s="180"/>
      <c r="AQ124" s="180"/>
      <c r="AS124" s="323"/>
      <c r="AU124" s="322"/>
    </row>
    <row r="125" spans="1:47" x14ac:dyDescent="0.3">
      <c r="B125" s="125"/>
      <c r="D125" s="115"/>
      <c r="E125" s="115"/>
      <c r="P125" s="739"/>
      <c r="Q125" s="739"/>
      <c r="T125" s="337"/>
      <c r="AC125" s="724"/>
      <c r="AD125" s="724"/>
      <c r="AE125" s="336"/>
      <c r="AP125" s="765">
        <f>ROUND(SUM(P125:AE125),0)</f>
        <v>0</v>
      </c>
      <c r="AQ125" s="765"/>
      <c r="AS125" s="323"/>
      <c r="AU125" s="322"/>
    </row>
    <row r="126" spans="1:47" x14ac:dyDescent="0.3">
      <c r="B126" s="125"/>
      <c r="D126" s="115"/>
      <c r="E126" s="115"/>
      <c r="P126" s="739"/>
      <c r="Q126" s="739"/>
      <c r="T126" s="337"/>
      <c r="AC126" s="724"/>
      <c r="AD126" s="724"/>
      <c r="AE126" s="336"/>
      <c r="AP126" s="765">
        <f>ROUND(SUM(P126:AE126),0)</f>
        <v>0</v>
      </c>
      <c r="AQ126" s="765"/>
      <c r="AS126" s="323"/>
      <c r="AU126" s="322"/>
    </row>
    <row r="127" spans="1:47" x14ac:dyDescent="0.3">
      <c r="B127" s="125"/>
      <c r="D127" s="115"/>
      <c r="E127" s="115"/>
      <c r="P127" s="739"/>
      <c r="Q127" s="739"/>
      <c r="T127" s="337"/>
      <c r="AC127" s="724"/>
      <c r="AD127" s="724"/>
      <c r="AE127" s="336"/>
      <c r="AP127" s="765">
        <f>ROUND(SUM(P127:AE127),0)</f>
        <v>0</v>
      </c>
      <c r="AQ127" s="765"/>
      <c r="AS127" s="323"/>
      <c r="AU127" s="322"/>
    </row>
    <row r="128" spans="1:47" x14ac:dyDescent="0.3">
      <c r="B128" s="125"/>
      <c r="D128" s="115"/>
      <c r="E128" s="115"/>
      <c r="P128" s="739"/>
      <c r="Q128" s="739"/>
      <c r="T128" s="337"/>
      <c r="AC128" s="724"/>
      <c r="AD128" s="724"/>
      <c r="AE128" s="336"/>
      <c r="AP128" s="765">
        <f>ROUND(SUM(P128:AE128),0)</f>
        <v>0</v>
      </c>
      <c r="AQ128" s="765"/>
      <c r="AS128" s="323"/>
      <c r="AU128" s="322"/>
    </row>
    <row r="129" spans="1:47" x14ac:dyDescent="0.3">
      <c r="B129" s="125"/>
      <c r="D129" s="115"/>
      <c r="E129" s="115"/>
      <c r="P129" s="739"/>
      <c r="Q129" s="739"/>
      <c r="T129" s="337"/>
      <c r="AC129" s="724"/>
      <c r="AD129" s="724"/>
      <c r="AE129" s="336"/>
      <c r="AP129" s="765">
        <f>ROUND(SUM(P129:AE129),0)</f>
        <v>0</v>
      </c>
      <c r="AQ129" s="765"/>
      <c r="AS129" s="323"/>
      <c r="AU129" s="322"/>
    </row>
    <row r="130" spans="1:47" ht="4.5" customHeight="1" x14ac:dyDescent="0.3">
      <c r="B130" s="125"/>
      <c r="D130" s="132"/>
      <c r="E130" s="132"/>
      <c r="F130" s="296"/>
      <c r="G130" s="296"/>
      <c r="H130" s="135"/>
      <c r="I130" s="135"/>
      <c r="J130" s="135"/>
      <c r="K130" s="135"/>
      <c r="L130" s="135"/>
      <c r="M130" s="135"/>
      <c r="N130" s="135"/>
      <c r="O130" s="135"/>
      <c r="P130" s="763"/>
      <c r="Q130" s="763"/>
      <c r="R130" s="135"/>
      <c r="S130" s="135"/>
      <c r="T130" s="339"/>
      <c r="U130" s="135"/>
      <c r="V130" s="135"/>
      <c r="W130" s="135"/>
      <c r="X130" s="135"/>
      <c r="Y130" s="135"/>
      <c r="Z130" s="135"/>
      <c r="AA130" s="135"/>
      <c r="AB130" s="135"/>
      <c r="AC130" s="736"/>
      <c r="AD130" s="736"/>
      <c r="AE130" s="340"/>
      <c r="AF130" s="135"/>
      <c r="AG130" s="135"/>
      <c r="AH130" s="135"/>
      <c r="AI130" s="135"/>
      <c r="AJ130" s="135"/>
      <c r="AK130" s="135"/>
      <c r="AL130" s="135"/>
      <c r="AM130" s="135"/>
      <c r="AN130" s="135"/>
      <c r="AO130" s="135"/>
      <c r="AP130" s="763"/>
      <c r="AQ130" s="763"/>
      <c r="AS130" s="323"/>
      <c r="AU130" s="322"/>
    </row>
    <row r="131" spans="1:47" x14ac:dyDescent="0.3">
      <c r="B131" s="125"/>
      <c r="C131" s="109" t="str">
        <f>"Subtotal "&amp;C124</f>
        <v>Subtotal Travel</v>
      </c>
      <c r="D131" s="115"/>
      <c r="E131" s="115"/>
      <c r="P131" s="774">
        <f>ROUND(SUM(P125:Q130),0)</f>
        <v>0</v>
      </c>
      <c r="Q131" s="774"/>
      <c r="T131" s="337"/>
      <c r="AC131" s="737">
        <f>ROUND(SUM(AC125:AD130),0)</f>
        <v>0</v>
      </c>
      <c r="AD131" s="737"/>
      <c r="AE131" s="336"/>
      <c r="AP131" s="774">
        <f>ROUND(SUM(AP125:AQ130),0)</f>
        <v>0</v>
      </c>
      <c r="AQ131" s="774"/>
      <c r="AS131" s="323"/>
      <c r="AU131" s="322"/>
    </row>
    <row r="132" spans="1:47" ht="3.75" customHeight="1" x14ac:dyDescent="0.3">
      <c r="B132" s="125"/>
      <c r="C132" s="109"/>
      <c r="D132" s="115"/>
      <c r="E132" s="115"/>
      <c r="P132" s="278"/>
      <c r="Q132" s="278"/>
      <c r="T132" s="337"/>
      <c r="AC132" s="108"/>
      <c r="AD132" s="108"/>
      <c r="AE132" s="336"/>
      <c r="AS132" s="323"/>
      <c r="AU132" s="322"/>
    </row>
    <row r="133" spans="1:47" x14ac:dyDescent="0.3">
      <c r="A133" s="109"/>
      <c r="B133" s="131" t="s">
        <v>816</v>
      </c>
      <c r="C133" s="109" t="s">
        <v>714</v>
      </c>
      <c r="D133" s="115"/>
      <c r="E133" s="115"/>
      <c r="T133" s="337"/>
      <c r="AE133" s="336"/>
      <c r="AP133" s="180"/>
      <c r="AQ133" s="180"/>
      <c r="AS133" s="323"/>
      <c r="AU133" s="322"/>
    </row>
    <row r="134" spans="1:47" x14ac:dyDescent="0.3">
      <c r="B134" s="125"/>
      <c r="D134" s="115"/>
      <c r="E134" s="115"/>
      <c r="P134" s="739"/>
      <c r="Q134" s="739"/>
      <c r="T134" s="337"/>
      <c r="AC134" s="724"/>
      <c r="AD134" s="724"/>
      <c r="AE134" s="336"/>
      <c r="AP134" s="765">
        <f>ROUND(SUM(P134:AE134),0)</f>
        <v>0</v>
      </c>
      <c r="AQ134" s="765"/>
      <c r="AS134" s="323"/>
      <c r="AU134" s="322"/>
    </row>
    <row r="135" spans="1:47" x14ac:dyDescent="0.3">
      <c r="B135" s="125"/>
      <c r="D135" s="115"/>
      <c r="E135" s="115"/>
      <c r="P135" s="739"/>
      <c r="Q135" s="739"/>
      <c r="T135" s="337"/>
      <c r="AC135" s="724"/>
      <c r="AD135" s="724"/>
      <c r="AE135" s="336"/>
      <c r="AP135" s="765">
        <f>ROUND(SUM(P135:AE135),0)</f>
        <v>0</v>
      </c>
      <c r="AQ135" s="765"/>
      <c r="AS135" s="323"/>
      <c r="AU135" s="322"/>
    </row>
    <row r="136" spans="1:47" x14ac:dyDescent="0.3">
      <c r="B136" s="125"/>
      <c r="D136" s="115"/>
      <c r="E136" s="115"/>
      <c r="P136" s="739"/>
      <c r="Q136" s="739"/>
      <c r="T136" s="337"/>
      <c r="AC136" s="724"/>
      <c r="AD136" s="724"/>
      <c r="AE136" s="336"/>
      <c r="AP136" s="765">
        <f>ROUND(SUM(P136:AE136),0)</f>
        <v>0</v>
      </c>
      <c r="AQ136" s="765"/>
      <c r="AS136" s="323"/>
      <c r="AU136" s="322"/>
    </row>
    <row r="137" spans="1:47" x14ac:dyDescent="0.3">
      <c r="B137" s="125"/>
      <c r="D137" s="115"/>
      <c r="E137" s="115"/>
      <c r="P137" s="739"/>
      <c r="Q137" s="739"/>
      <c r="T137" s="337"/>
      <c r="AC137" s="724"/>
      <c r="AD137" s="724"/>
      <c r="AE137" s="336"/>
      <c r="AP137" s="765">
        <f>ROUND(SUM(P137:AE137),0)</f>
        <v>0</v>
      </c>
      <c r="AQ137" s="765"/>
      <c r="AS137" s="323"/>
      <c r="AU137" s="322"/>
    </row>
    <row r="138" spans="1:47" x14ac:dyDescent="0.3">
      <c r="B138" s="125"/>
      <c r="D138" s="115"/>
      <c r="E138" s="115"/>
      <c r="P138" s="739"/>
      <c r="Q138" s="739"/>
      <c r="T138" s="337"/>
      <c r="AC138" s="724"/>
      <c r="AD138" s="724"/>
      <c r="AE138" s="336"/>
      <c r="AP138" s="765">
        <f>ROUND(SUM(P138:AE138),0)</f>
        <v>0</v>
      </c>
      <c r="AQ138" s="765"/>
      <c r="AS138" s="323"/>
      <c r="AU138" s="322"/>
    </row>
    <row r="139" spans="1:47" ht="4.5" customHeight="1" x14ac:dyDescent="0.3">
      <c r="B139" s="125"/>
      <c r="D139" s="132"/>
      <c r="E139" s="132"/>
      <c r="F139" s="296"/>
      <c r="G139" s="296"/>
      <c r="H139" s="135"/>
      <c r="I139" s="135"/>
      <c r="J139" s="135"/>
      <c r="K139" s="135"/>
      <c r="L139" s="135"/>
      <c r="M139" s="135"/>
      <c r="N139" s="135"/>
      <c r="O139" s="135"/>
      <c r="P139" s="763"/>
      <c r="Q139" s="763"/>
      <c r="R139" s="135"/>
      <c r="S139" s="135"/>
      <c r="T139" s="339"/>
      <c r="U139" s="135"/>
      <c r="V139" s="135"/>
      <c r="W139" s="135"/>
      <c r="X139" s="135"/>
      <c r="Y139" s="135"/>
      <c r="Z139" s="135"/>
      <c r="AA139" s="135"/>
      <c r="AB139" s="135"/>
      <c r="AC139" s="736"/>
      <c r="AD139" s="736"/>
      <c r="AE139" s="340"/>
      <c r="AF139" s="135"/>
      <c r="AG139" s="135"/>
      <c r="AH139" s="135"/>
      <c r="AI139" s="135"/>
      <c r="AJ139" s="135"/>
      <c r="AK139" s="135"/>
      <c r="AL139" s="135"/>
      <c r="AM139" s="135"/>
      <c r="AN139" s="135"/>
      <c r="AO139" s="135"/>
      <c r="AP139" s="763"/>
      <c r="AQ139" s="763"/>
      <c r="AS139" s="323"/>
      <c r="AU139" s="322"/>
    </row>
    <row r="140" spans="1:47" x14ac:dyDescent="0.3">
      <c r="B140" s="125"/>
      <c r="C140" s="109" t="str">
        <f>"Subtotal "&amp;C133</f>
        <v>Subtotal Subsistence</v>
      </c>
      <c r="D140" s="115"/>
      <c r="E140" s="115"/>
      <c r="P140" s="774">
        <f>ROUND(SUM(P134:Q139),0)</f>
        <v>0</v>
      </c>
      <c r="Q140" s="774"/>
      <c r="T140" s="337"/>
      <c r="AC140" s="737">
        <f>ROUND(SUM(AC134:AD139),0)</f>
        <v>0</v>
      </c>
      <c r="AD140" s="737"/>
      <c r="AE140" s="336"/>
      <c r="AP140" s="774">
        <f>ROUND(SUM(AP134:AQ139),0)</f>
        <v>0</v>
      </c>
      <c r="AQ140" s="774"/>
      <c r="AS140" s="323"/>
      <c r="AU140" s="322"/>
    </row>
    <row r="141" spans="1:47" ht="9" customHeight="1" x14ac:dyDescent="0.3">
      <c r="B141" s="125"/>
      <c r="C141" s="109"/>
      <c r="D141" s="115"/>
      <c r="E141" s="115"/>
      <c r="P141" s="278"/>
      <c r="Q141" s="278"/>
      <c r="T141" s="337"/>
      <c r="AC141" s="108"/>
      <c r="AD141" s="108"/>
      <c r="AE141" s="336"/>
      <c r="AS141" s="323"/>
      <c r="AU141" s="322"/>
    </row>
    <row r="142" spans="1:47" x14ac:dyDescent="0.3">
      <c r="A142" s="109"/>
      <c r="B142" s="131" t="s">
        <v>817</v>
      </c>
      <c r="C142" s="109" t="s">
        <v>679</v>
      </c>
      <c r="D142" s="115"/>
      <c r="E142" s="115"/>
      <c r="T142" s="337"/>
      <c r="AE142" s="336"/>
      <c r="AP142" s="180"/>
      <c r="AQ142" s="180"/>
      <c r="AS142" s="323"/>
      <c r="AU142" s="322"/>
    </row>
    <row r="143" spans="1:47" x14ac:dyDescent="0.3">
      <c r="B143" s="125"/>
      <c r="D143" s="115"/>
      <c r="E143" s="115"/>
      <c r="P143" s="739"/>
      <c r="Q143" s="739"/>
      <c r="T143" s="337"/>
      <c r="AC143" s="724"/>
      <c r="AD143" s="724"/>
      <c r="AE143" s="336"/>
      <c r="AP143" s="765">
        <f>ROUND(SUM(P143:AE143),0)</f>
        <v>0</v>
      </c>
      <c r="AQ143" s="765"/>
      <c r="AS143" s="323"/>
      <c r="AU143" s="322"/>
    </row>
    <row r="144" spans="1:47" x14ac:dyDescent="0.3">
      <c r="B144" s="125"/>
      <c r="D144" s="115"/>
      <c r="E144" s="115"/>
      <c r="P144" s="739"/>
      <c r="Q144" s="739"/>
      <c r="T144" s="337"/>
      <c r="AC144" s="724"/>
      <c r="AD144" s="724"/>
      <c r="AE144" s="336"/>
      <c r="AP144" s="765">
        <f>ROUND(SUM(P144:AE144),0)</f>
        <v>0</v>
      </c>
      <c r="AQ144" s="765"/>
      <c r="AS144" s="323"/>
      <c r="AU144" s="322"/>
    </row>
    <row r="145" spans="1:47" x14ac:dyDescent="0.3">
      <c r="B145" s="125"/>
      <c r="D145" s="115"/>
      <c r="E145" s="115"/>
      <c r="P145" s="739"/>
      <c r="Q145" s="739"/>
      <c r="T145" s="337"/>
      <c r="AC145" s="724"/>
      <c r="AD145" s="724"/>
      <c r="AE145" s="336"/>
      <c r="AP145" s="765">
        <f>ROUND(SUM(P145:AE145),0)</f>
        <v>0</v>
      </c>
      <c r="AQ145" s="765"/>
      <c r="AS145" s="323"/>
      <c r="AU145" s="322"/>
    </row>
    <row r="146" spans="1:47" x14ac:dyDescent="0.3">
      <c r="B146" s="125"/>
      <c r="D146" s="115"/>
      <c r="E146" s="115"/>
      <c r="P146" s="739"/>
      <c r="Q146" s="739"/>
      <c r="T146" s="337"/>
      <c r="AC146" s="724"/>
      <c r="AD146" s="724"/>
      <c r="AE146" s="336"/>
      <c r="AP146" s="765">
        <f>ROUND(SUM(P146:AE146),0)</f>
        <v>0</v>
      </c>
      <c r="AQ146" s="765"/>
      <c r="AS146" s="323"/>
      <c r="AU146" s="322"/>
    </row>
    <row r="147" spans="1:47" x14ac:dyDescent="0.3">
      <c r="B147" s="125"/>
      <c r="D147" s="115"/>
      <c r="E147" s="115"/>
      <c r="P147" s="739"/>
      <c r="Q147" s="739"/>
      <c r="T147" s="337"/>
      <c r="AC147" s="724"/>
      <c r="AD147" s="724"/>
      <c r="AE147" s="336"/>
      <c r="AP147" s="765">
        <f>ROUND(SUM(P147:AE147),0)</f>
        <v>0</v>
      </c>
      <c r="AQ147" s="765"/>
      <c r="AS147" s="323"/>
      <c r="AU147" s="322"/>
    </row>
    <row r="148" spans="1:47" ht="4.5" customHeight="1" x14ac:dyDescent="0.3">
      <c r="B148" s="125"/>
      <c r="D148" s="132"/>
      <c r="E148" s="132"/>
      <c r="F148" s="296"/>
      <c r="G148" s="296"/>
      <c r="H148" s="135"/>
      <c r="I148" s="135"/>
      <c r="J148" s="135"/>
      <c r="K148" s="135"/>
      <c r="L148" s="135"/>
      <c r="M148" s="135"/>
      <c r="N148" s="135"/>
      <c r="O148" s="135"/>
      <c r="P148" s="763"/>
      <c r="Q148" s="763"/>
      <c r="R148" s="135"/>
      <c r="S148" s="135"/>
      <c r="T148" s="339"/>
      <c r="U148" s="135"/>
      <c r="V148" s="135"/>
      <c r="W148" s="135"/>
      <c r="X148" s="135"/>
      <c r="Y148" s="135"/>
      <c r="Z148" s="135"/>
      <c r="AA148" s="135"/>
      <c r="AB148" s="135"/>
      <c r="AC148" s="736"/>
      <c r="AD148" s="736"/>
      <c r="AE148" s="340"/>
      <c r="AF148" s="135"/>
      <c r="AG148" s="135"/>
      <c r="AH148" s="135"/>
      <c r="AI148" s="135"/>
      <c r="AJ148" s="135"/>
      <c r="AK148" s="135"/>
      <c r="AL148" s="135"/>
      <c r="AM148" s="135"/>
      <c r="AN148" s="135"/>
      <c r="AO148" s="135"/>
      <c r="AP148" s="763"/>
      <c r="AQ148" s="763"/>
      <c r="AS148" s="323"/>
      <c r="AU148" s="322"/>
    </row>
    <row r="149" spans="1:47" x14ac:dyDescent="0.3">
      <c r="B149" s="125"/>
      <c r="C149" s="109" t="str">
        <f>"Subtotal "&amp;C142</f>
        <v>Subtotal Other</v>
      </c>
      <c r="D149" s="115"/>
      <c r="E149" s="115"/>
      <c r="P149" s="774">
        <f>ROUND(SUM(P143:Q148),0)</f>
        <v>0</v>
      </c>
      <c r="Q149" s="774"/>
      <c r="T149" s="337"/>
      <c r="AC149" s="737">
        <f>ROUND(SUM(AC143:AD148),0)</f>
        <v>0</v>
      </c>
      <c r="AD149" s="737"/>
      <c r="AE149" s="336"/>
      <c r="AP149" s="774">
        <f>ROUND(SUM(AP143:AQ148),0)</f>
        <v>0</v>
      </c>
      <c r="AQ149" s="774"/>
      <c r="AS149" s="323"/>
      <c r="AU149" s="322"/>
    </row>
    <row r="150" spans="1:47" ht="3" customHeight="1" x14ac:dyDescent="0.3">
      <c r="B150" s="772"/>
      <c r="C150" s="772"/>
      <c r="D150" s="772"/>
      <c r="E150" s="772"/>
      <c r="F150" s="772"/>
      <c r="G150" s="772"/>
      <c r="H150" s="772"/>
      <c r="I150" s="772"/>
      <c r="J150" s="772"/>
      <c r="K150" s="772"/>
      <c r="L150" s="772"/>
      <c r="M150" s="135"/>
      <c r="N150" s="135"/>
      <c r="O150" s="135"/>
      <c r="P150" s="763"/>
      <c r="Q150" s="763"/>
      <c r="R150" s="135"/>
      <c r="S150" s="135"/>
      <c r="T150" s="339"/>
      <c r="U150" s="135"/>
      <c r="V150" s="135"/>
      <c r="W150" s="135"/>
      <c r="X150" s="135"/>
      <c r="Y150" s="135"/>
      <c r="Z150" s="135"/>
      <c r="AA150" s="135"/>
      <c r="AB150" s="135"/>
      <c r="AC150" s="736"/>
      <c r="AD150" s="736"/>
      <c r="AE150" s="340"/>
      <c r="AF150" s="135"/>
      <c r="AG150" s="135"/>
      <c r="AH150" s="135"/>
      <c r="AI150" s="135"/>
      <c r="AJ150" s="135"/>
      <c r="AK150" s="135"/>
      <c r="AL150" s="135"/>
      <c r="AM150" s="135"/>
      <c r="AN150" s="135"/>
      <c r="AO150" s="135"/>
      <c r="AP150" s="763"/>
      <c r="AQ150" s="763"/>
      <c r="AS150" s="323"/>
      <c r="AU150" s="322"/>
    </row>
    <row r="151" spans="1:47" x14ac:dyDescent="0.3">
      <c r="B151" s="158" t="str">
        <f>CONCATENATE("TOTAL ",B105)</f>
        <v>TOTAL PARTICIPANT/TRAINEE SUPPORT COSTS</v>
      </c>
      <c r="C151" s="159"/>
      <c r="D151" s="170"/>
      <c r="E151" s="170"/>
      <c r="F151" s="298"/>
      <c r="G151" s="298"/>
      <c r="H151" s="289"/>
      <c r="I151" s="289"/>
      <c r="J151" s="289"/>
      <c r="K151" s="289"/>
      <c r="L151" s="289"/>
      <c r="M151" s="289"/>
      <c r="N151" s="289"/>
      <c r="O151" s="289"/>
      <c r="P151" s="726">
        <f>ROUND(P113+P122+P131+P140+P149,0)</f>
        <v>0</v>
      </c>
      <c r="Q151" s="726"/>
      <c r="R151" s="289"/>
      <c r="S151" s="289"/>
      <c r="T151" s="341"/>
      <c r="U151" s="289"/>
      <c r="V151" s="289"/>
      <c r="W151" s="289"/>
      <c r="X151" s="289"/>
      <c r="Y151" s="289"/>
      <c r="Z151" s="289"/>
      <c r="AA151" s="289"/>
      <c r="AB151" s="289"/>
      <c r="AC151" s="727">
        <f>ROUND(AC113+AC122+AC131+AC140+AC149,0)</f>
        <v>0</v>
      </c>
      <c r="AD151" s="727"/>
      <c r="AE151" s="342"/>
      <c r="AF151" s="289"/>
      <c r="AG151" s="289"/>
      <c r="AH151" s="289"/>
      <c r="AI151" s="289"/>
      <c r="AJ151" s="289"/>
      <c r="AK151" s="289"/>
      <c r="AL151" s="289"/>
      <c r="AM151" s="289"/>
      <c r="AN151" s="289"/>
      <c r="AO151" s="289"/>
      <c r="AP151" s="761">
        <f>ROUND(SUM(AP105:AQ150),0)</f>
        <v>0</v>
      </c>
      <c r="AQ151" s="761"/>
      <c r="AS151" s="519">
        <f>P151</f>
        <v>0</v>
      </c>
      <c r="AU151" s="520">
        <f>AC151</f>
        <v>0</v>
      </c>
    </row>
    <row r="152" spans="1:47" ht="3" customHeight="1" x14ac:dyDescent="0.3">
      <c r="D152" s="115"/>
      <c r="E152" s="115"/>
      <c r="T152" s="337"/>
      <c r="AE152" s="336"/>
      <c r="AP152" s="180"/>
      <c r="AQ152" s="180"/>
      <c r="AS152" s="323"/>
      <c r="AU152" s="322"/>
    </row>
    <row r="153" spans="1:47" x14ac:dyDescent="0.3">
      <c r="A153" s="109" t="s">
        <v>674</v>
      </c>
      <c r="B153" s="109" t="s">
        <v>777</v>
      </c>
      <c r="C153" s="109"/>
      <c r="D153" s="115"/>
      <c r="E153" s="115"/>
      <c r="T153" s="337"/>
      <c r="AE153" s="336"/>
      <c r="AP153" s="180"/>
      <c r="AQ153" s="180"/>
      <c r="AS153" s="323"/>
      <c r="AU153" s="322"/>
    </row>
    <row r="154" spans="1:47" x14ac:dyDescent="0.3">
      <c r="A154" s="109"/>
      <c r="B154" s="131" t="s">
        <v>802</v>
      </c>
      <c r="C154" s="109" t="s">
        <v>720</v>
      </c>
      <c r="D154" s="115"/>
      <c r="E154" s="115"/>
      <c r="T154" s="337"/>
      <c r="AE154" s="336"/>
      <c r="AP154" s="180"/>
      <c r="AQ154" s="180"/>
      <c r="AS154" s="323"/>
      <c r="AU154" s="322"/>
    </row>
    <row r="155" spans="1:47" x14ac:dyDescent="0.3">
      <c r="B155" s="125"/>
      <c r="C155" s="113"/>
      <c r="D155" s="106">
        <f>'YEAR 4'!D155</f>
        <v>0</v>
      </c>
      <c r="E155" s="115"/>
      <c r="P155" s="739"/>
      <c r="Q155" s="739"/>
      <c r="T155" s="337"/>
      <c r="AC155" s="724"/>
      <c r="AD155" s="724"/>
      <c r="AE155" s="336"/>
      <c r="AP155" s="765">
        <f>ROUND(SUM(P155:AE155),0)</f>
        <v>0</v>
      </c>
      <c r="AQ155" s="765"/>
      <c r="AS155" s="323"/>
      <c r="AU155" s="322"/>
    </row>
    <row r="156" spans="1:47" x14ac:dyDescent="0.3">
      <c r="B156" s="125"/>
      <c r="C156" s="113"/>
      <c r="D156" s="106">
        <f>'YEAR 4'!D156</f>
        <v>0</v>
      </c>
      <c r="E156" s="115"/>
      <c r="P156" s="739"/>
      <c r="Q156" s="739"/>
      <c r="T156" s="337"/>
      <c r="AE156" s="336"/>
      <c r="AP156" s="608"/>
      <c r="AQ156" s="608"/>
      <c r="AS156" s="323"/>
      <c r="AU156" s="322"/>
    </row>
    <row r="157" spans="1:47" x14ac:dyDescent="0.3">
      <c r="B157" s="125"/>
      <c r="C157" s="113"/>
      <c r="D157" s="106">
        <f>'YEAR 4'!D157</f>
        <v>0</v>
      </c>
      <c r="E157" s="115"/>
      <c r="P157" s="739"/>
      <c r="Q157" s="739"/>
      <c r="T157" s="337"/>
      <c r="AE157" s="336"/>
      <c r="AP157" s="608"/>
      <c r="AQ157" s="608"/>
      <c r="AS157" s="323"/>
      <c r="AU157" s="322"/>
    </row>
    <row r="158" spans="1:47" x14ac:dyDescent="0.3">
      <c r="B158" s="125"/>
      <c r="C158" s="113"/>
      <c r="D158" s="106">
        <f>'YEAR 4'!D158</f>
        <v>0</v>
      </c>
      <c r="E158" s="115"/>
      <c r="P158" s="739"/>
      <c r="Q158" s="739"/>
      <c r="T158" s="337"/>
      <c r="AE158" s="336"/>
      <c r="AP158" s="608"/>
      <c r="AQ158" s="608"/>
      <c r="AS158" s="323"/>
      <c r="AU158" s="322"/>
    </row>
    <row r="159" spans="1:47" x14ac:dyDescent="0.3">
      <c r="B159" s="125"/>
      <c r="C159" s="113"/>
      <c r="D159" s="106">
        <f>'YEAR 4'!D159</f>
        <v>0</v>
      </c>
      <c r="E159" s="115"/>
      <c r="P159" s="739"/>
      <c r="Q159" s="739"/>
      <c r="T159" s="337"/>
      <c r="AE159" s="336"/>
      <c r="AP159" s="608"/>
      <c r="AQ159" s="608"/>
      <c r="AS159" s="323"/>
      <c r="AU159" s="322"/>
    </row>
    <row r="160" spans="1:47" x14ac:dyDescent="0.3">
      <c r="B160" s="125"/>
      <c r="C160" s="113"/>
      <c r="D160" s="106">
        <f>'YEAR 4'!D160</f>
        <v>0</v>
      </c>
      <c r="E160" s="115"/>
      <c r="P160" s="739"/>
      <c r="Q160" s="739"/>
      <c r="T160" s="337"/>
      <c r="AE160" s="336"/>
      <c r="AP160" s="608"/>
      <c r="AQ160" s="608"/>
      <c r="AS160" s="323"/>
      <c r="AU160" s="322"/>
    </row>
    <row r="161" spans="1:47" x14ac:dyDescent="0.3">
      <c r="B161" s="125"/>
      <c r="C161" s="113"/>
      <c r="D161" s="106">
        <f>'YEAR 4'!D161</f>
        <v>0</v>
      </c>
      <c r="E161" s="115"/>
      <c r="P161" s="739"/>
      <c r="Q161" s="739"/>
      <c r="T161" s="337"/>
      <c r="AC161" s="724"/>
      <c r="AD161" s="724"/>
      <c r="AE161" s="336"/>
      <c r="AP161" s="765">
        <f>ROUND(SUM(P161:AE161),0)</f>
        <v>0</v>
      </c>
      <c r="AQ161" s="765"/>
      <c r="AS161" s="323"/>
      <c r="AU161" s="322"/>
    </row>
    <row r="162" spans="1:47" x14ac:dyDescent="0.3">
      <c r="B162" s="125"/>
      <c r="C162" s="113"/>
      <c r="D162" s="106">
        <f>'YEAR 4'!D162</f>
        <v>0</v>
      </c>
      <c r="E162" s="115"/>
      <c r="P162" s="739"/>
      <c r="Q162" s="739"/>
      <c r="T162" s="337"/>
      <c r="AC162" s="724"/>
      <c r="AD162" s="724"/>
      <c r="AE162" s="336"/>
      <c r="AP162" s="765">
        <f>ROUND(SUM(P162:AE162),0)</f>
        <v>0</v>
      </c>
      <c r="AQ162" s="765"/>
      <c r="AS162" s="323"/>
      <c r="AU162" s="322"/>
    </row>
    <row r="163" spans="1:47" x14ac:dyDescent="0.3">
      <c r="B163" s="125"/>
      <c r="D163" s="106">
        <f>'YEAR 4'!D163</f>
        <v>0</v>
      </c>
      <c r="E163" s="115"/>
      <c r="P163" s="739"/>
      <c r="Q163" s="739"/>
      <c r="T163" s="337"/>
      <c r="AC163" s="724"/>
      <c r="AD163" s="724"/>
      <c r="AE163" s="336"/>
      <c r="AP163" s="765">
        <f>ROUND(SUM(P163:AE163),0)</f>
        <v>0</v>
      </c>
      <c r="AQ163" s="765"/>
      <c r="AS163" s="323"/>
      <c r="AU163" s="322"/>
    </row>
    <row r="164" spans="1:47" x14ac:dyDescent="0.3">
      <c r="B164" s="125"/>
      <c r="D164" s="106">
        <f>'YEAR 4'!D164</f>
        <v>0</v>
      </c>
      <c r="E164" s="115"/>
      <c r="P164" s="739"/>
      <c r="Q164" s="739"/>
      <c r="T164" s="337"/>
      <c r="AC164" s="724"/>
      <c r="AD164" s="724"/>
      <c r="AE164" s="336"/>
      <c r="AP164" s="765">
        <f>ROUND(SUM(P164:AE164),0)</f>
        <v>0</v>
      </c>
      <c r="AQ164" s="765"/>
      <c r="AS164" s="323"/>
      <c r="AU164" s="322"/>
    </row>
    <row r="165" spans="1:47" ht="3" customHeight="1" x14ac:dyDescent="0.3">
      <c r="B165" s="125"/>
      <c r="D165" s="132"/>
      <c r="E165" s="132"/>
      <c r="F165" s="296"/>
      <c r="G165" s="296"/>
      <c r="H165" s="135"/>
      <c r="I165" s="135"/>
      <c r="J165" s="135"/>
      <c r="K165" s="135"/>
      <c r="L165" s="135"/>
      <c r="M165" s="135"/>
      <c r="N165" s="135"/>
      <c r="O165" s="135"/>
      <c r="P165" s="763"/>
      <c r="Q165" s="763"/>
      <c r="R165" s="135"/>
      <c r="S165" s="135"/>
      <c r="T165" s="339"/>
      <c r="U165" s="135"/>
      <c r="V165" s="135"/>
      <c r="W165" s="135"/>
      <c r="X165" s="135"/>
      <c r="Y165" s="135"/>
      <c r="Z165" s="135"/>
      <c r="AA165" s="135"/>
      <c r="AB165" s="135"/>
      <c r="AC165" s="736"/>
      <c r="AD165" s="736"/>
      <c r="AE165" s="340"/>
      <c r="AF165" s="135"/>
      <c r="AG165" s="135"/>
      <c r="AH165" s="135"/>
      <c r="AI165" s="135"/>
      <c r="AJ165" s="135"/>
      <c r="AK165" s="135"/>
      <c r="AL165" s="135"/>
      <c r="AM165" s="135"/>
      <c r="AN165" s="135"/>
      <c r="AO165" s="135"/>
      <c r="AP165" s="763"/>
      <c r="AQ165" s="763"/>
      <c r="AS165" s="323"/>
      <c r="AU165" s="322"/>
    </row>
    <row r="166" spans="1:47" x14ac:dyDescent="0.3">
      <c r="B166" s="125"/>
      <c r="C166" s="109" t="str">
        <f>"Subtotal "&amp;C154</f>
        <v>Subtotal Materials &amp; Supplies</v>
      </c>
      <c r="D166" s="115"/>
      <c r="E166" s="115"/>
      <c r="P166" s="774">
        <f>ROUND(SUM(P155:Q165),0)</f>
        <v>0</v>
      </c>
      <c r="Q166" s="774"/>
      <c r="T166" s="337"/>
      <c r="AC166" s="737">
        <f>ROUND(SUM(AC155:AD165),0)</f>
        <v>0</v>
      </c>
      <c r="AD166" s="737"/>
      <c r="AE166" s="336"/>
      <c r="AP166" s="774">
        <f>ROUND(SUM(AP155:AQ165),0)</f>
        <v>0</v>
      </c>
      <c r="AQ166" s="774"/>
      <c r="AS166" s="323"/>
      <c r="AU166" s="322"/>
    </row>
    <row r="167" spans="1:47" ht="3" customHeight="1" x14ac:dyDescent="0.3">
      <c r="B167" s="125"/>
      <c r="C167" s="109"/>
      <c r="D167" s="115"/>
      <c r="E167" s="115"/>
      <c r="P167" s="278"/>
      <c r="Q167" s="278"/>
      <c r="T167" s="337"/>
      <c r="AC167" s="108"/>
      <c r="AD167" s="108"/>
      <c r="AE167" s="336"/>
      <c r="AS167" s="323"/>
      <c r="AU167" s="322"/>
    </row>
    <row r="168" spans="1:47" x14ac:dyDescent="0.3">
      <c r="A168" s="109"/>
      <c r="B168" s="131" t="s">
        <v>811</v>
      </c>
      <c r="C168" s="109" t="s">
        <v>818</v>
      </c>
      <c r="D168" s="115"/>
      <c r="E168" s="115"/>
      <c r="T168" s="337"/>
      <c r="AE168" s="336"/>
      <c r="AP168" s="180"/>
      <c r="AQ168" s="180"/>
      <c r="AS168" s="323"/>
      <c r="AU168" s="322"/>
    </row>
    <row r="169" spans="1:47" x14ac:dyDescent="0.3">
      <c r="B169" s="125"/>
      <c r="D169" s="106" t="str">
        <f>'YEAR 4'!D169</f>
        <v xml:space="preserve">Publication </v>
      </c>
      <c r="E169" s="115"/>
      <c r="P169" s="739"/>
      <c r="Q169" s="739"/>
      <c r="T169" s="337"/>
      <c r="AC169" s="724"/>
      <c r="AD169" s="724"/>
      <c r="AE169" s="336"/>
      <c r="AP169" s="765">
        <f>ROUND(SUM(P169:AE169),0)</f>
        <v>0</v>
      </c>
      <c r="AQ169" s="765"/>
      <c r="AS169" s="323"/>
      <c r="AU169" s="322"/>
    </row>
    <row r="170" spans="1:47" x14ac:dyDescent="0.3">
      <c r="B170" s="125"/>
      <c r="D170" s="106">
        <f>'YEAR 4'!D170</f>
        <v>0</v>
      </c>
      <c r="E170" s="115"/>
      <c r="P170" s="739"/>
      <c r="Q170" s="739"/>
      <c r="T170" s="337"/>
      <c r="AC170" s="724"/>
      <c r="AD170" s="724"/>
      <c r="AE170" s="336"/>
      <c r="AP170" s="765">
        <f>ROUND(SUM(P170:AE170),0)</f>
        <v>0</v>
      </c>
      <c r="AQ170" s="765"/>
      <c r="AS170" s="323"/>
      <c r="AU170" s="322"/>
    </row>
    <row r="171" spans="1:47" x14ac:dyDescent="0.3">
      <c r="B171" s="125"/>
      <c r="D171" s="106">
        <f>'YEAR 4'!D171</f>
        <v>0</v>
      </c>
      <c r="E171" s="115"/>
      <c r="P171" s="739"/>
      <c r="Q171" s="739"/>
      <c r="T171" s="337"/>
      <c r="AC171" s="724"/>
      <c r="AD171" s="724"/>
      <c r="AE171" s="336"/>
      <c r="AP171" s="765">
        <f>ROUND(SUM(P171:AE171),0)</f>
        <v>0</v>
      </c>
      <c r="AQ171" s="765"/>
      <c r="AS171" s="323"/>
      <c r="AU171" s="322"/>
    </row>
    <row r="172" spans="1:47" x14ac:dyDescent="0.3">
      <c r="B172" s="125"/>
      <c r="D172" s="106">
        <f>'YEAR 4'!D172</f>
        <v>0</v>
      </c>
      <c r="E172" s="115"/>
      <c r="P172" s="739"/>
      <c r="Q172" s="739"/>
      <c r="T172" s="337"/>
      <c r="AC172" s="724"/>
      <c r="AD172" s="724"/>
      <c r="AE172" s="336"/>
      <c r="AP172" s="765">
        <f>ROUND(SUM(P172:AE172),0)</f>
        <v>0</v>
      </c>
      <c r="AQ172" s="765"/>
      <c r="AS172" s="323"/>
      <c r="AU172" s="322"/>
    </row>
    <row r="173" spans="1:47" x14ac:dyDescent="0.3">
      <c r="B173" s="125"/>
      <c r="D173" s="106">
        <f>'YEAR 4'!D173</f>
        <v>0</v>
      </c>
      <c r="E173" s="115"/>
      <c r="P173" s="739"/>
      <c r="Q173" s="739"/>
      <c r="T173" s="337"/>
      <c r="AC173" s="724"/>
      <c r="AD173" s="724"/>
      <c r="AE173" s="336"/>
      <c r="AP173" s="765">
        <f>ROUND(SUM(P173:AE173),0)</f>
        <v>0</v>
      </c>
      <c r="AQ173" s="765"/>
      <c r="AS173" s="323"/>
      <c r="AU173" s="322"/>
    </row>
    <row r="174" spans="1:47" ht="3" customHeight="1" x14ac:dyDescent="0.3">
      <c r="B174" s="125"/>
      <c r="D174" s="132"/>
      <c r="E174" s="132"/>
      <c r="F174" s="296"/>
      <c r="G174" s="296"/>
      <c r="H174" s="135"/>
      <c r="I174" s="135"/>
      <c r="J174" s="135"/>
      <c r="K174" s="135"/>
      <c r="L174" s="135"/>
      <c r="M174" s="135"/>
      <c r="N174" s="135"/>
      <c r="O174" s="135"/>
      <c r="P174" s="763"/>
      <c r="Q174" s="763"/>
      <c r="R174" s="135"/>
      <c r="S174" s="135"/>
      <c r="T174" s="339"/>
      <c r="U174" s="135"/>
      <c r="V174" s="135"/>
      <c r="W174" s="135"/>
      <c r="X174" s="135"/>
      <c r="Y174" s="135"/>
      <c r="Z174" s="135"/>
      <c r="AA174" s="135"/>
      <c r="AB174" s="135"/>
      <c r="AC174" s="736"/>
      <c r="AD174" s="736"/>
      <c r="AE174" s="340"/>
      <c r="AF174" s="135"/>
      <c r="AG174" s="135"/>
      <c r="AH174" s="135"/>
      <c r="AI174" s="135"/>
      <c r="AJ174" s="135"/>
      <c r="AK174" s="135"/>
      <c r="AL174" s="135"/>
      <c r="AM174" s="135"/>
      <c r="AN174" s="135"/>
      <c r="AO174" s="135"/>
      <c r="AP174" s="763"/>
      <c r="AQ174" s="763"/>
      <c r="AS174" s="323"/>
      <c r="AU174" s="322"/>
    </row>
    <row r="175" spans="1:47" x14ac:dyDescent="0.3">
      <c r="B175" s="125"/>
      <c r="C175" s="109" t="str">
        <f>"Subtotal "&amp;C168</f>
        <v>Subtotal Publications</v>
      </c>
      <c r="D175" s="115"/>
      <c r="E175" s="115"/>
      <c r="P175" s="774">
        <f>ROUND(SUM(P169:Q174),0)</f>
        <v>0</v>
      </c>
      <c r="Q175" s="774"/>
      <c r="T175" s="337"/>
      <c r="AC175" s="737">
        <f>ROUND(SUM(AC169:AD174),0)</f>
        <v>0</v>
      </c>
      <c r="AD175" s="737"/>
      <c r="AE175" s="336"/>
      <c r="AP175" s="774">
        <f>ROUND(SUM(AP169:AQ174),0)</f>
        <v>0</v>
      </c>
      <c r="AQ175" s="774"/>
      <c r="AS175" s="323"/>
      <c r="AU175" s="322"/>
    </row>
    <row r="176" spans="1:47" ht="3" customHeight="1" x14ac:dyDescent="0.3">
      <c r="B176" s="125"/>
      <c r="C176" s="109"/>
      <c r="D176" s="115"/>
      <c r="E176" s="115"/>
      <c r="P176" s="278"/>
      <c r="Q176" s="278"/>
      <c r="T176" s="337"/>
      <c r="AC176" s="108"/>
      <c r="AD176" s="108"/>
      <c r="AE176" s="336"/>
      <c r="AS176" s="323"/>
      <c r="AU176" s="322"/>
    </row>
    <row r="177" spans="1:47" x14ac:dyDescent="0.3">
      <c r="A177" s="109"/>
      <c r="B177" s="131" t="s">
        <v>815</v>
      </c>
      <c r="C177" s="109" t="s">
        <v>820</v>
      </c>
      <c r="D177" s="115"/>
      <c r="E177" s="115"/>
      <c r="T177" s="337"/>
      <c r="AE177" s="336"/>
      <c r="AP177" s="180"/>
      <c r="AQ177" s="180"/>
      <c r="AS177" s="323"/>
      <c r="AU177" s="322"/>
    </row>
    <row r="178" spans="1:47" x14ac:dyDescent="0.3">
      <c r="B178" s="125"/>
      <c r="D178" s="106">
        <f>'YEAR 1'!D178</f>
        <v>0</v>
      </c>
      <c r="E178" s="115"/>
      <c r="P178" s="739"/>
      <c r="Q178" s="739"/>
      <c r="T178" s="337"/>
      <c r="AC178" s="724"/>
      <c r="AD178" s="724"/>
      <c r="AE178" s="336"/>
      <c r="AP178" s="765">
        <f>ROUND(SUM(P178:AE178),0)</f>
        <v>0</v>
      </c>
      <c r="AQ178" s="765"/>
      <c r="AS178" s="323"/>
      <c r="AU178" s="322"/>
    </row>
    <row r="179" spans="1:47" x14ac:dyDescent="0.3">
      <c r="B179" s="125"/>
      <c r="D179" s="106">
        <f>'YEAR 4'!D179</f>
        <v>0</v>
      </c>
      <c r="E179" s="115"/>
      <c r="P179" s="739"/>
      <c r="Q179" s="739"/>
      <c r="T179" s="337"/>
      <c r="AC179" s="724"/>
      <c r="AD179" s="724"/>
      <c r="AE179" s="336"/>
      <c r="AP179" s="765">
        <f>ROUND(SUM(P179:AE179),0)</f>
        <v>0</v>
      </c>
      <c r="AQ179" s="765"/>
      <c r="AS179" s="323"/>
      <c r="AU179" s="322"/>
    </row>
    <row r="180" spans="1:47" x14ac:dyDescent="0.3">
      <c r="B180" s="125"/>
      <c r="D180" s="106">
        <f>'YEAR 4'!D180</f>
        <v>0</v>
      </c>
      <c r="E180" s="115"/>
      <c r="P180" s="739"/>
      <c r="Q180" s="739"/>
      <c r="T180" s="337"/>
      <c r="AC180" s="724"/>
      <c r="AD180" s="724"/>
      <c r="AE180" s="336"/>
      <c r="AP180" s="765">
        <f>ROUND(SUM(P180:AE180),0)</f>
        <v>0</v>
      </c>
      <c r="AQ180" s="765"/>
      <c r="AS180" s="323"/>
      <c r="AU180" s="322"/>
    </row>
    <row r="181" spans="1:47" x14ac:dyDescent="0.3">
      <c r="B181" s="125"/>
      <c r="D181" s="106">
        <f>'YEAR 4'!D181</f>
        <v>0</v>
      </c>
      <c r="E181" s="115"/>
      <c r="P181" s="739"/>
      <c r="Q181" s="739"/>
      <c r="T181" s="337"/>
      <c r="AC181" s="724"/>
      <c r="AD181" s="724"/>
      <c r="AE181" s="336"/>
      <c r="AP181" s="765">
        <f>ROUND(SUM(P181:AE181),0)</f>
        <v>0</v>
      </c>
      <c r="AQ181" s="765"/>
      <c r="AS181" s="323"/>
      <c r="AU181" s="322"/>
    </row>
    <row r="182" spans="1:47" x14ac:dyDescent="0.3">
      <c r="B182" s="125"/>
      <c r="D182" s="106">
        <f>'YEAR 4'!D182</f>
        <v>0</v>
      </c>
      <c r="E182" s="115"/>
      <c r="P182" s="739"/>
      <c r="Q182" s="739"/>
      <c r="T182" s="337"/>
      <c r="AC182" s="724"/>
      <c r="AD182" s="724"/>
      <c r="AE182" s="336"/>
      <c r="AP182" s="765">
        <f>ROUND(SUM(P182:AE182),0)</f>
        <v>0</v>
      </c>
      <c r="AQ182" s="765"/>
      <c r="AS182" s="323"/>
      <c r="AU182" s="322"/>
    </row>
    <row r="183" spans="1:47" ht="3" customHeight="1" x14ac:dyDescent="0.3">
      <c r="B183" s="125"/>
      <c r="D183" s="132"/>
      <c r="E183" s="132"/>
      <c r="F183" s="296"/>
      <c r="G183" s="296"/>
      <c r="H183" s="135"/>
      <c r="I183" s="135"/>
      <c r="J183" s="135"/>
      <c r="K183" s="135"/>
      <c r="L183" s="135"/>
      <c r="M183" s="135"/>
      <c r="N183" s="135"/>
      <c r="O183" s="135"/>
      <c r="P183" s="763"/>
      <c r="Q183" s="763"/>
      <c r="R183" s="135"/>
      <c r="S183" s="135"/>
      <c r="T183" s="339"/>
      <c r="U183" s="135"/>
      <c r="V183" s="135"/>
      <c r="W183" s="135"/>
      <c r="X183" s="135"/>
      <c r="Y183" s="135"/>
      <c r="Z183" s="135"/>
      <c r="AA183" s="135"/>
      <c r="AB183" s="135"/>
      <c r="AC183" s="736"/>
      <c r="AD183" s="736"/>
      <c r="AE183" s="340"/>
      <c r="AF183" s="135"/>
      <c r="AG183" s="135"/>
      <c r="AH183" s="135"/>
      <c r="AI183" s="135"/>
      <c r="AJ183" s="135"/>
      <c r="AK183" s="135"/>
      <c r="AL183" s="135"/>
      <c r="AM183" s="135"/>
      <c r="AN183" s="135"/>
      <c r="AO183" s="135"/>
      <c r="AP183" s="763"/>
      <c r="AQ183" s="763"/>
      <c r="AS183" s="323"/>
      <c r="AU183" s="322"/>
    </row>
    <row r="184" spans="1:47" x14ac:dyDescent="0.3">
      <c r="B184" s="125"/>
      <c r="C184" s="109" t="str">
        <f>"Subtotal "&amp;C177</f>
        <v>Subtotal Consultant Services/Contractual</v>
      </c>
      <c r="D184" s="115"/>
      <c r="E184" s="115"/>
      <c r="P184" s="774">
        <f>ROUND(SUM(P178:Q183),0)</f>
        <v>0</v>
      </c>
      <c r="Q184" s="774"/>
      <c r="T184" s="337"/>
      <c r="AC184" s="737">
        <f>ROUND(SUM(AC178:AD183),0)</f>
        <v>0</v>
      </c>
      <c r="AD184" s="737"/>
      <c r="AE184" s="336"/>
      <c r="AP184" s="774">
        <f>ROUND(SUM(AP178:AQ183),0)</f>
        <v>0</v>
      </c>
      <c r="AQ184" s="774"/>
      <c r="AS184" s="323"/>
      <c r="AU184" s="322"/>
    </row>
    <row r="185" spans="1:47" ht="3" customHeight="1" x14ac:dyDescent="0.3">
      <c r="B185" s="125"/>
      <c r="C185" s="109"/>
      <c r="D185" s="115"/>
      <c r="E185" s="115"/>
      <c r="P185" s="278"/>
      <c r="Q185" s="278"/>
      <c r="T185" s="337"/>
      <c r="AC185" s="108"/>
      <c r="AD185" s="108"/>
      <c r="AE185" s="336"/>
      <c r="AS185" s="323"/>
      <c r="AU185" s="322"/>
    </row>
    <row r="186" spans="1:47" x14ac:dyDescent="0.3">
      <c r="A186" s="109"/>
      <c r="B186" s="131" t="s">
        <v>816</v>
      </c>
      <c r="C186" s="109" t="s">
        <v>821</v>
      </c>
      <c r="D186" s="115"/>
      <c r="E186" s="115"/>
      <c r="T186" s="337"/>
      <c r="AE186" s="336"/>
      <c r="AP186" s="180"/>
      <c r="AQ186" s="180"/>
      <c r="AS186" s="323"/>
      <c r="AU186" s="322"/>
    </row>
    <row r="187" spans="1:47" x14ac:dyDescent="0.3">
      <c r="B187" s="125"/>
      <c r="D187" s="106">
        <f>'YEAR 4'!D187</f>
        <v>0</v>
      </c>
      <c r="E187" s="115"/>
      <c r="P187" s="739"/>
      <c r="Q187" s="739"/>
      <c r="T187" s="337"/>
      <c r="AC187" s="724"/>
      <c r="AD187" s="724"/>
      <c r="AE187" s="336"/>
      <c r="AP187" s="765">
        <f>ROUND(SUM(P187:AE187),0)</f>
        <v>0</v>
      </c>
      <c r="AQ187" s="765"/>
      <c r="AS187" s="323"/>
      <c r="AU187" s="322"/>
    </row>
    <row r="188" spans="1:47" x14ac:dyDescent="0.3">
      <c r="B188" s="125"/>
      <c r="D188" s="106">
        <f>'YEAR 4'!D188</f>
        <v>0</v>
      </c>
      <c r="E188" s="115"/>
      <c r="P188" s="739"/>
      <c r="Q188" s="739"/>
      <c r="T188" s="337"/>
      <c r="AC188" s="724"/>
      <c r="AD188" s="724"/>
      <c r="AE188" s="336"/>
      <c r="AP188" s="765">
        <f>ROUND(SUM(P188:AE188),0)</f>
        <v>0</v>
      </c>
      <c r="AQ188" s="765"/>
      <c r="AS188" s="323"/>
      <c r="AU188" s="322"/>
    </row>
    <row r="189" spans="1:47" x14ac:dyDescent="0.3">
      <c r="B189" s="125"/>
      <c r="D189" s="106">
        <f>'YEAR 4'!D189</f>
        <v>0</v>
      </c>
      <c r="E189" s="115"/>
      <c r="P189" s="739"/>
      <c r="Q189" s="739"/>
      <c r="T189" s="337"/>
      <c r="AC189" s="724"/>
      <c r="AD189" s="724"/>
      <c r="AE189" s="336"/>
      <c r="AP189" s="765">
        <f>ROUND(SUM(P189:AE189),0)</f>
        <v>0</v>
      </c>
      <c r="AQ189" s="765"/>
      <c r="AS189" s="323"/>
      <c r="AU189" s="322"/>
    </row>
    <row r="190" spans="1:47" x14ac:dyDescent="0.3">
      <c r="B190" s="125"/>
      <c r="D190" s="106">
        <f>'YEAR 4'!D190</f>
        <v>0</v>
      </c>
      <c r="E190" s="115"/>
      <c r="P190" s="739"/>
      <c r="Q190" s="739"/>
      <c r="T190" s="337"/>
      <c r="AC190" s="724"/>
      <c r="AD190" s="724"/>
      <c r="AE190" s="336"/>
      <c r="AP190" s="765">
        <f>ROUND(SUM(P190:AE190),0)</f>
        <v>0</v>
      </c>
      <c r="AQ190" s="765"/>
      <c r="AS190" s="323"/>
      <c r="AU190" s="322"/>
    </row>
    <row r="191" spans="1:47" x14ac:dyDescent="0.3">
      <c r="B191" s="125"/>
      <c r="D191" s="106">
        <f>'YEAR 4'!D191</f>
        <v>0</v>
      </c>
      <c r="E191" s="115"/>
      <c r="P191" s="739"/>
      <c r="Q191" s="739"/>
      <c r="T191" s="337"/>
      <c r="AC191" s="724"/>
      <c r="AD191" s="724"/>
      <c r="AE191" s="336"/>
      <c r="AP191" s="765">
        <f>ROUND(SUM(P191:AE191),0)</f>
        <v>0</v>
      </c>
      <c r="AQ191" s="765"/>
      <c r="AS191" s="323"/>
      <c r="AU191" s="322"/>
    </row>
    <row r="192" spans="1:47" ht="3" customHeight="1" x14ac:dyDescent="0.3">
      <c r="B192" s="125"/>
      <c r="D192" s="132"/>
      <c r="E192" s="132"/>
      <c r="F192" s="296"/>
      <c r="G192" s="296"/>
      <c r="H192" s="135"/>
      <c r="I192" s="135"/>
      <c r="J192" s="135"/>
      <c r="K192" s="135"/>
      <c r="L192" s="135"/>
      <c r="M192" s="135"/>
      <c r="N192" s="135"/>
      <c r="O192" s="135"/>
      <c r="P192" s="763"/>
      <c r="Q192" s="763"/>
      <c r="R192" s="135"/>
      <c r="S192" s="135"/>
      <c r="T192" s="339"/>
      <c r="U192" s="135"/>
      <c r="V192" s="135"/>
      <c r="W192" s="135"/>
      <c r="X192" s="135"/>
      <c r="Y192" s="135"/>
      <c r="Z192" s="135"/>
      <c r="AA192" s="135"/>
      <c r="AB192" s="135"/>
      <c r="AC192" s="736"/>
      <c r="AD192" s="736"/>
      <c r="AE192" s="340"/>
      <c r="AF192" s="135"/>
      <c r="AG192" s="135"/>
      <c r="AH192" s="135"/>
      <c r="AI192" s="135"/>
      <c r="AJ192" s="135"/>
      <c r="AK192" s="135"/>
      <c r="AL192" s="135"/>
      <c r="AM192" s="135"/>
      <c r="AN192" s="135"/>
      <c r="AO192" s="135"/>
      <c r="AP192" s="763"/>
      <c r="AQ192" s="763"/>
      <c r="AS192" s="323"/>
      <c r="AU192" s="322"/>
    </row>
    <row r="193" spans="1:47" x14ac:dyDescent="0.3">
      <c r="B193" s="125"/>
      <c r="C193" s="109" t="str">
        <f>"Subtotal "&amp;C186</f>
        <v>Subtotal Fee for Service/Contractual</v>
      </c>
      <c r="D193" s="115"/>
      <c r="E193" s="115"/>
      <c r="P193" s="774">
        <f>ROUND(SUM(P187:Q192),0)</f>
        <v>0</v>
      </c>
      <c r="Q193" s="774"/>
      <c r="T193" s="337"/>
      <c r="AC193" s="737">
        <f>ROUND(SUM(AC187:AD192),0)</f>
        <v>0</v>
      </c>
      <c r="AD193" s="737"/>
      <c r="AE193" s="336"/>
      <c r="AP193" s="774">
        <f>ROUND(SUM(AP187:AQ192),0)</f>
        <v>0</v>
      </c>
      <c r="AQ193" s="774"/>
      <c r="AS193" s="323"/>
      <c r="AU193" s="322"/>
    </row>
    <row r="194" spans="1:47" ht="3" customHeight="1" x14ac:dyDescent="0.3">
      <c r="B194" s="125"/>
      <c r="C194" s="109"/>
      <c r="D194" s="115"/>
      <c r="E194" s="115"/>
      <c r="P194" s="278"/>
      <c r="Q194" s="278"/>
      <c r="T194" s="337"/>
      <c r="AC194" s="108"/>
      <c r="AD194" s="108"/>
      <c r="AE194" s="336"/>
      <c r="AS194" s="323"/>
      <c r="AU194" s="322"/>
    </row>
    <row r="195" spans="1:47" x14ac:dyDescent="0.3">
      <c r="A195" s="109"/>
      <c r="B195" s="131" t="s">
        <v>817</v>
      </c>
      <c r="C195" s="109" t="s">
        <v>822</v>
      </c>
      <c r="D195" s="115"/>
      <c r="E195" s="115"/>
      <c r="T195" s="337"/>
      <c r="AE195" s="336"/>
      <c r="AP195" s="180"/>
      <c r="AQ195" s="180"/>
      <c r="AS195" s="323"/>
      <c r="AU195" s="322"/>
    </row>
    <row r="196" spans="1:47" x14ac:dyDescent="0.3">
      <c r="B196" s="125"/>
      <c r="D196" s="106">
        <f>'YEAR 4'!D196</f>
        <v>0</v>
      </c>
      <c r="E196" s="115"/>
      <c r="P196" s="739"/>
      <c r="Q196" s="739"/>
      <c r="T196" s="337"/>
      <c r="AC196" s="724"/>
      <c r="AD196" s="724"/>
      <c r="AE196" s="336"/>
      <c r="AP196" s="765">
        <f>ROUND(SUM(P196:AE196),0)</f>
        <v>0</v>
      </c>
      <c r="AQ196" s="765"/>
      <c r="AS196" s="519">
        <f>P196</f>
        <v>0</v>
      </c>
      <c r="AU196" s="520">
        <f>AC196</f>
        <v>0</v>
      </c>
    </row>
    <row r="197" spans="1:47" x14ac:dyDescent="0.3">
      <c r="B197" s="125"/>
      <c r="D197" s="106">
        <f>'YEAR 4'!D197</f>
        <v>0</v>
      </c>
      <c r="E197" s="115"/>
      <c r="P197" s="739"/>
      <c r="Q197" s="739"/>
      <c r="T197" s="337"/>
      <c r="AC197" s="724"/>
      <c r="AD197" s="724"/>
      <c r="AE197" s="336"/>
      <c r="AP197" s="765">
        <f>ROUND(SUM(P197:AE197),0)</f>
        <v>0</v>
      </c>
      <c r="AQ197" s="765"/>
      <c r="AS197" s="519">
        <f>P197</f>
        <v>0</v>
      </c>
      <c r="AU197" s="520">
        <f>AC197</f>
        <v>0</v>
      </c>
    </row>
    <row r="198" spans="1:47" ht="15" customHeight="1" x14ac:dyDescent="0.3">
      <c r="B198" s="125"/>
      <c r="D198" s="106">
        <f>'YEAR 4'!D198</f>
        <v>0</v>
      </c>
      <c r="E198" s="115"/>
      <c r="P198" s="739"/>
      <c r="Q198" s="739"/>
      <c r="T198" s="337"/>
      <c r="AC198" s="724"/>
      <c r="AD198" s="724"/>
      <c r="AE198" s="336"/>
      <c r="AP198" s="765">
        <f>ROUND(SUM(P198:AE198),0)</f>
        <v>0</v>
      </c>
      <c r="AQ198" s="765"/>
      <c r="AS198" s="519">
        <f>P198</f>
        <v>0</v>
      </c>
      <c r="AU198" s="520">
        <f>AC198</f>
        <v>0</v>
      </c>
    </row>
    <row r="199" spans="1:47" x14ac:dyDescent="0.3">
      <c r="B199" s="125"/>
      <c r="D199" s="106">
        <f>'YEAR 4'!D199</f>
        <v>0</v>
      </c>
      <c r="E199" s="115"/>
      <c r="P199" s="739"/>
      <c r="Q199" s="739"/>
      <c r="T199" s="337"/>
      <c r="AC199" s="724"/>
      <c r="AD199" s="724"/>
      <c r="AE199" s="336"/>
      <c r="AP199" s="765">
        <f>ROUND(SUM(P199:AE199),0)</f>
        <v>0</v>
      </c>
      <c r="AQ199" s="765"/>
      <c r="AS199" s="519">
        <f>P199</f>
        <v>0</v>
      </c>
      <c r="AU199" s="520">
        <f>AC199</f>
        <v>0</v>
      </c>
    </row>
    <row r="200" spans="1:47" x14ac:dyDescent="0.3">
      <c r="B200" s="125"/>
      <c r="D200" s="106">
        <f>'YEAR 4'!D200</f>
        <v>0</v>
      </c>
      <c r="E200" s="115"/>
      <c r="P200" s="739"/>
      <c r="Q200" s="739"/>
      <c r="T200" s="337"/>
      <c r="AC200" s="724"/>
      <c r="AD200" s="724"/>
      <c r="AE200" s="336"/>
      <c r="AP200" s="765">
        <f>ROUND(SUM(P200:AE200),0)</f>
        <v>0</v>
      </c>
      <c r="AQ200" s="765"/>
      <c r="AS200" s="519">
        <f>P200</f>
        <v>0</v>
      </c>
      <c r="AU200" s="520">
        <f>AC200</f>
        <v>0</v>
      </c>
    </row>
    <row r="201" spans="1:47" ht="3" customHeight="1" x14ac:dyDescent="0.3">
      <c r="B201" s="125"/>
      <c r="D201" s="132"/>
      <c r="E201" s="132"/>
      <c r="F201" s="296"/>
      <c r="G201" s="296"/>
      <c r="H201" s="135"/>
      <c r="I201" s="135"/>
      <c r="J201" s="135"/>
      <c r="K201" s="135"/>
      <c r="L201" s="135"/>
      <c r="M201" s="135"/>
      <c r="N201" s="135"/>
      <c r="O201" s="135"/>
      <c r="P201" s="763"/>
      <c r="Q201" s="763"/>
      <c r="R201" s="135"/>
      <c r="S201" s="135"/>
      <c r="T201" s="339"/>
      <c r="U201" s="135"/>
      <c r="V201" s="135"/>
      <c r="W201" s="135"/>
      <c r="X201" s="135"/>
      <c r="Y201" s="135"/>
      <c r="Z201" s="135"/>
      <c r="AA201" s="135"/>
      <c r="AB201" s="135"/>
      <c r="AC201" s="736"/>
      <c r="AD201" s="736"/>
      <c r="AE201" s="340"/>
      <c r="AF201" s="135"/>
      <c r="AG201" s="135"/>
      <c r="AH201" s="135"/>
      <c r="AI201" s="135"/>
      <c r="AJ201" s="135"/>
      <c r="AK201" s="135"/>
      <c r="AL201" s="135"/>
      <c r="AM201" s="135"/>
      <c r="AN201" s="135"/>
      <c r="AO201" s="135"/>
      <c r="AP201" s="763"/>
      <c r="AQ201" s="763"/>
      <c r="AS201" s="323"/>
      <c r="AU201" s="322"/>
    </row>
    <row r="202" spans="1:47" x14ac:dyDescent="0.3">
      <c r="B202" s="125"/>
      <c r="C202" s="109" t="str">
        <f>"Subtotal "&amp;C195</f>
        <v>Subtotal Subawards</v>
      </c>
      <c r="D202" s="115"/>
      <c r="E202" s="115"/>
      <c r="P202" s="774">
        <f>ROUND(SUM(P196:Q201),0)</f>
        <v>0</v>
      </c>
      <c r="Q202" s="774"/>
      <c r="T202" s="337"/>
      <c r="AC202" s="737">
        <f>ROUND(SUM(AC196:AD201),0)</f>
        <v>0</v>
      </c>
      <c r="AD202" s="737"/>
      <c r="AE202" s="336"/>
      <c r="AP202" s="774">
        <f>ROUND(SUM(AP196:AQ201),0)</f>
        <v>0</v>
      </c>
      <c r="AQ202" s="774"/>
      <c r="AS202" s="323"/>
      <c r="AU202" s="322"/>
    </row>
    <row r="203" spans="1:47" ht="3" customHeight="1" x14ac:dyDescent="0.3">
      <c r="B203" s="125"/>
      <c r="C203" s="109"/>
      <c r="D203" s="115"/>
      <c r="E203" s="115"/>
      <c r="P203" s="278"/>
      <c r="Q203" s="278"/>
      <c r="T203" s="337"/>
      <c r="AC203" s="108"/>
      <c r="AD203" s="108"/>
      <c r="AE203" s="336"/>
      <c r="AS203" s="323"/>
      <c r="AU203" s="322"/>
    </row>
    <row r="204" spans="1:47" x14ac:dyDescent="0.3">
      <c r="A204" s="109"/>
      <c r="B204" s="131" t="s">
        <v>823</v>
      </c>
      <c r="C204" s="109" t="s">
        <v>824</v>
      </c>
      <c r="D204" s="115"/>
      <c r="E204" s="115"/>
      <c r="T204" s="337"/>
      <c r="AE204" s="336"/>
      <c r="AP204" s="180"/>
      <c r="AQ204" s="180"/>
      <c r="AS204" s="323"/>
      <c r="AU204" s="322"/>
    </row>
    <row r="205" spans="1:47" x14ac:dyDescent="0.3">
      <c r="B205" s="125"/>
      <c r="C205" s="113"/>
      <c r="D205" s="106">
        <f>'YEAR 1'!D205</f>
        <v>0</v>
      </c>
      <c r="E205" s="115"/>
      <c r="P205" s="739"/>
      <c r="Q205" s="739"/>
      <c r="T205" s="337"/>
      <c r="AC205" s="724"/>
      <c r="AD205" s="724"/>
      <c r="AE205" s="336"/>
      <c r="AP205" s="765">
        <f>ROUND(SUM(P205:AE205),0)</f>
        <v>0</v>
      </c>
      <c r="AQ205" s="765"/>
      <c r="AS205" s="323"/>
      <c r="AU205" s="322"/>
    </row>
    <row r="206" spans="1:47" x14ac:dyDescent="0.3">
      <c r="B206" s="125"/>
      <c r="C206" s="113"/>
      <c r="D206" s="106">
        <f>'YEAR 1'!D206</f>
        <v>0</v>
      </c>
      <c r="E206" s="115"/>
      <c r="P206" s="739"/>
      <c r="Q206" s="739"/>
      <c r="T206" s="337"/>
      <c r="AC206" s="724"/>
      <c r="AD206" s="724"/>
      <c r="AE206" s="336"/>
      <c r="AP206" s="765">
        <f>ROUND(SUM(P206:AE206),0)</f>
        <v>0</v>
      </c>
      <c r="AQ206" s="765"/>
      <c r="AS206" s="323"/>
      <c r="AU206" s="322"/>
    </row>
    <row r="207" spans="1:47" x14ac:dyDescent="0.3">
      <c r="B207" s="125"/>
      <c r="D207" s="106">
        <f>'YEAR 1'!D207</f>
        <v>0</v>
      </c>
      <c r="E207" s="115"/>
      <c r="P207" s="739"/>
      <c r="Q207" s="739"/>
      <c r="T207" s="337"/>
      <c r="AC207" s="724"/>
      <c r="AD207" s="724"/>
      <c r="AE207" s="336"/>
      <c r="AP207" s="765">
        <f>ROUND(SUM(P207:AE207),0)</f>
        <v>0</v>
      </c>
      <c r="AQ207" s="765"/>
      <c r="AS207" s="323"/>
      <c r="AU207" s="322"/>
    </row>
    <row r="208" spans="1:47" x14ac:dyDescent="0.3">
      <c r="B208" s="125"/>
      <c r="D208" s="106">
        <f>'YEAR 1'!D208</f>
        <v>0</v>
      </c>
      <c r="E208" s="115"/>
      <c r="P208" s="739"/>
      <c r="Q208" s="739"/>
      <c r="T208" s="337"/>
      <c r="AC208" s="724"/>
      <c r="AD208" s="724"/>
      <c r="AE208" s="336"/>
      <c r="AP208" s="765">
        <f>ROUND(SUM(P208:AE208),0)</f>
        <v>0</v>
      </c>
      <c r="AQ208" s="765"/>
      <c r="AS208" s="323"/>
      <c r="AU208" s="322"/>
    </row>
    <row r="209" spans="1:47" x14ac:dyDescent="0.3">
      <c r="B209" s="125"/>
      <c r="D209" s="106">
        <f>'YEAR 4'!D209</f>
        <v>0</v>
      </c>
      <c r="E209" s="115"/>
      <c r="P209" s="739"/>
      <c r="Q209" s="739"/>
      <c r="T209" s="337"/>
      <c r="AC209" s="724"/>
      <c r="AD209" s="724"/>
      <c r="AE209" s="336"/>
      <c r="AP209" s="765">
        <f>ROUND(SUM(P209:AE209),0)</f>
        <v>0</v>
      </c>
      <c r="AQ209" s="765"/>
      <c r="AS209" s="323"/>
      <c r="AU209" s="322"/>
    </row>
    <row r="210" spans="1:47" ht="3" customHeight="1" x14ac:dyDescent="0.3">
      <c r="B210" s="125"/>
      <c r="D210" s="132"/>
      <c r="E210" s="132"/>
      <c r="F210" s="296"/>
      <c r="G210" s="296"/>
      <c r="H210" s="135"/>
      <c r="I210" s="135"/>
      <c r="J210" s="135"/>
      <c r="K210" s="135"/>
      <c r="L210" s="135"/>
      <c r="M210" s="135"/>
      <c r="N210" s="135"/>
      <c r="O210" s="135"/>
      <c r="P210" s="763"/>
      <c r="Q210" s="763"/>
      <c r="R210" s="135"/>
      <c r="S210" s="135"/>
      <c r="T210" s="339"/>
      <c r="U210" s="135"/>
      <c r="V210" s="135"/>
      <c r="W210" s="135"/>
      <c r="X210" s="135"/>
      <c r="Y210" s="135"/>
      <c r="Z210" s="135"/>
      <c r="AA210" s="135"/>
      <c r="AB210" s="135"/>
      <c r="AC210" s="736"/>
      <c r="AD210" s="736"/>
      <c r="AE210" s="340"/>
      <c r="AF210" s="135"/>
      <c r="AG210" s="135"/>
      <c r="AH210" s="135"/>
      <c r="AI210" s="135"/>
      <c r="AJ210" s="135"/>
      <c r="AK210" s="135"/>
      <c r="AL210" s="135"/>
      <c r="AM210" s="135"/>
      <c r="AN210" s="135"/>
      <c r="AO210" s="135"/>
      <c r="AP210" s="763"/>
      <c r="AQ210" s="763"/>
      <c r="AS210" s="323"/>
      <c r="AU210" s="322"/>
    </row>
    <row r="211" spans="1:47" x14ac:dyDescent="0.3">
      <c r="B211" s="125"/>
      <c r="C211" s="109" t="str">
        <f>"Subtotal "&amp;C204</f>
        <v>Subtotal Equipment/Facility Rental Fees</v>
      </c>
      <c r="D211" s="115"/>
      <c r="E211" s="115"/>
      <c r="P211" s="774">
        <f>ROUND(SUM(P205:Q210),0)</f>
        <v>0</v>
      </c>
      <c r="Q211" s="774"/>
      <c r="T211" s="337"/>
      <c r="AC211" s="737">
        <f>ROUND(SUM(AC205:AD210),0)</f>
        <v>0</v>
      </c>
      <c r="AD211" s="737"/>
      <c r="AE211" s="336"/>
      <c r="AP211" s="774">
        <f>ROUND(SUM(AP205:AQ210),0)</f>
        <v>0</v>
      </c>
      <c r="AQ211" s="774"/>
      <c r="AS211" s="323"/>
      <c r="AU211" s="322"/>
    </row>
    <row r="212" spans="1:47" ht="3" customHeight="1" x14ac:dyDescent="0.3">
      <c r="B212" s="125"/>
      <c r="C212" s="109"/>
      <c r="D212" s="115"/>
      <c r="E212" s="115"/>
      <c r="P212" s="278"/>
      <c r="Q212" s="278"/>
      <c r="T212" s="337"/>
      <c r="AC212" s="108"/>
      <c r="AD212" s="108"/>
      <c r="AE212" s="336"/>
      <c r="AS212" s="323"/>
      <c r="AU212" s="322"/>
    </row>
    <row r="213" spans="1:47" x14ac:dyDescent="0.3">
      <c r="A213" s="109"/>
      <c r="B213" s="131" t="s">
        <v>825</v>
      </c>
      <c r="C213" s="109" t="s">
        <v>826</v>
      </c>
      <c r="D213" s="115"/>
      <c r="E213" s="115"/>
      <c r="T213" s="337"/>
      <c r="AE213" s="336"/>
      <c r="AP213" s="180"/>
      <c r="AQ213" s="180"/>
      <c r="AS213" s="323"/>
      <c r="AU213" s="322"/>
    </row>
    <row r="214" spans="1:47" x14ac:dyDescent="0.3">
      <c r="B214" s="125"/>
      <c r="D214" s="106">
        <f>'YEAR 4'!D214</f>
        <v>0</v>
      </c>
      <c r="E214" s="115"/>
      <c r="P214" s="739"/>
      <c r="Q214" s="739"/>
      <c r="T214" s="337"/>
      <c r="AC214" s="724"/>
      <c r="AD214" s="724"/>
      <c r="AE214" s="336"/>
      <c r="AP214" s="765">
        <f>ROUND(SUM(P214:AE214),0)</f>
        <v>0</v>
      </c>
      <c r="AQ214" s="765"/>
      <c r="AS214" s="323"/>
      <c r="AU214" s="322"/>
    </row>
    <row r="215" spans="1:47" x14ac:dyDescent="0.3">
      <c r="B215" s="125"/>
      <c r="D215" s="106">
        <f>'YEAR 4'!D215</f>
        <v>0</v>
      </c>
      <c r="E215" s="115"/>
      <c r="P215" s="739"/>
      <c r="Q215" s="739"/>
      <c r="T215" s="337"/>
      <c r="AC215" s="724"/>
      <c r="AD215" s="724"/>
      <c r="AE215" s="336"/>
      <c r="AP215" s="765">
        <f>ROUND(SUM(P215:AE215),0)</f>
        <v>0</v>
      </c>
      <c r="AQ215" s="765"/>
      <c r="AS215" s="323"/>
      <c r="AU215" s="322"/>
    </row>
    <row r="216" spans="1:47" x14ac:dyDescent="0.3">
      <c r="B216" s="125"/>
      <c r="D216" s="106">
        <f>'YEAR 4'!D216</f>
        <v>0</v>
      </c>
      <c r="E216" s="115"/>
      <c r="P216" s="739"/>
      <c r="Q216" s="739"/>
      <c r="T216" s="337"/>
      <c r="AC216" s="724"/>
      <c r="AD216" s="724"/>
      <c r="AE216" s="336"/>
      <c r="AP216" s="765">
        <f>ROUND(SUM(P216:AE216),0)</f>
        <v>0</v>
      </c>
      <c r="AQ216" s="765"/>
      <c r="AS216" s="323"/>
      <c r="AU216" s="322"/>
    </row>
    <row r="217" spans="1:47" x14ac:dyDescent="0.3">
      <c r="B217" s="125"/>
      <c r="D217" s="106">
        <f>'YEAR 4'!D217</f>
        <v>0</v>
      </c>
      <c r="E217" s="115"/>
      <c r="P217" s="739"/>
      <c r="Q217" s="739"/>
      <c r="T217" s="337"/>
      <c r="AC217" s="724"/>
      <c r="AD217" s="724"/>
      <c r="AE217" s="336"/>
      <c r="AP217" s="765">
        <f>ROUND(SUM(P217:AE217),0)</f>
        <v>0</v>
      </c>
      <c r="AQ217" s="765"/>
      <c r="AS217" s="323"/>
      <c r="AU217" s="322"/>
    </row>
    <row r="218" spans="1:47" x14ac:dyDescent="0.3">
      <c r="B218" s="125"/>
      <c r="D218" s="106">
        <f>'YEAR 4'!D218</f>
        <v>0</v>
      </c>
      <c r="E218" s="115"/>
      <c r="P218" s="739"/>
      <c r="Q218" s="739"/>
      <c r="T218" s="337"/>
      <c r="AC218" s="724"/>
      <c r="AD218" s="724"/>
      <c r="AE218" s="336"/>
      <c r="AP218" s="765">
        <f>ROUND(SUM(P218:AE218),0)</f>
        <v>0</v>
      </c>
      <c r="AQ218" s="765"/>
      <c r="AS218" s="323"/>
      <c r="AU218" s="322"/>
    </row>
    <row r="219" spans="1:47" ht="3" customHeight="1" x14ac:dyDescent="0.3">
      <c r="B219" s="125"/>
      <c r="D219" s="132"/>
      <c r="E219" s="132"/>
      <c r="F219" s="296"/>
      <c r="G219" s="296"/>
      <c r="H219" s="135"/>
      <c r="I219" s="135"/>
      <c r="J219" s="135"/>
      <c r="K219" s="135"/>
      <c r="L219" s="135"/>
      <c r="M219" s="135"/>
      <c r="N219" s="135"/>
      <c r="O219" s="135"/>
      <c r="P219" s="763"/>
      <c r="Q219" s="763"/>
      <c r="R219" s="135"/>
      <c r="S219" s="135"/>
      <c r="T219" s="339"/>
      <c r="U219" s="135"/>
      <c r="V219" s="135"/>
      <c r="W219" s="135"/>
      <c r="X219" s="135"/>
      <c r="Y219" s="135"/>
      <c r="Z219" s="135"/>
      <c r="AA219" s="135"/>
      <c r="AB219" s="135"/>
      <c r="AC219" s="736"/>
      <c r="AD219" s="736"/>
      <c r="AE219" s="340"/>
      <c r="AF219" s="135"/>
      <c r="AG219" s="135"/>
      <c r="AH219" s="135"/>
      <c r="AI219" s="135"/>
      <c r="AJ219" s="135"/>
      <c r="AK219" s="135"/>
      <c r="AL219" s="135"/>
      <c r="AM219" s="135"/>
      <c r="AN219" s="135"/>
      <c r="AO219" s="135"/>
      <c r="AP219" s="763"/>
      <c r="AQ219" s="763"/>
      <c r="AS219" s="323"/>
      <c r="AU219" s="322"/>
    </row>
    <row r="220" spans="1:47" x14ac:dyDescent="0.3">
      <c r="B220" s="125"/>
      <c r="C220" s="109" t="str">
        <f>"Subtotal "&amp;C213</f>
        <v>Subtotal Alterations/Renovations</v>
      </c>
      <c r="D220" s="115"/>
      <c r="E220" s="115"/>
      <c r="P220" s="774">
        <f>ROUND(SUM(P214:Q219),0)</f>
        <v>0</v>
      </c>
      <c r="Q220" s="774"/>
      <c r="T220" s="337"/>
      <c r="AC220" s="737">
        <f>ROUND(SUM(AC214:AD219),0)</f>
        <v>0</v>
      </c>
      <c r="AD220" s="737"/>
      <c r="AE220" s="336"/>
      <c r="AP220" s="774">
        <f>ROUND(SUM(AP214:AQ219),0)</f>
        <v>0</v>
      </c>
      <c r="AQ220" s="774"/>
      <c r="AS220" s="323"/>
      <c r="AU220" s="322"/>
    </row>
    <row r="221" spans="1:47" ht="3" customHeight="1" x14ac:dyDescent="0.3">
      <c r="B221" s="125"/>
      <c r="C221" s="109"/>
      <c r="D221" s="115"/>
      <c r="E221" s="115"/>
      <c r="P221" s="278"/>
      <c r="Q221" s="278"/>
      <c r="T221" s="337"/>
      <c r="AC221" s="108"/>
      <c r="AD221" s="108"/>
      <c r="AE221" s="336"/>
      <c r="AS221" s="323"/>
      <c r="AU221" s="322"/>
    </row>
    <row r="222" spans="1:47" x14ac:dyDescent="0.3">
      <c r="A222" s="109"/>
      <c r="B222" s="131" t="s">
        <v>827</v>
      </c>
      <c r="C222" s="109" t="s">
        <v>679</v>
      </c>
      <c r="D222" s="115"/>
      <c r="E222" s="115"/>
      <c r="T222" s="337"/>
      <c r="AE222" s="336"/>
      <c r="AP222" s="180"/>
      <c r="AQ222" s="180"/>
      <c r="AS222" s="323"/>
      <c r="AU222" s="322"/>
    </row>
    <row r="223" spans="1:47" x14ac:dyDescent="0.3">
      <c r="C223" s="279" t="s">
        <v>828</v>
      </c>
      <c r="D223" s="109" t="s">
        <v>829</v>
      </c>
      <c r="E223" s="115"/>
      <c r="P223" s="739"/>
      <c r="Q223" s="739"/>
      <c r="T223" s="337"/>
      <c r="AC223" s="724"/>
      <c r="AD223" s="724"/>
      <c r="AE223" s="336"/>
      <c r="AP223" s="782"/>
      <c r="AQ223" s="782"/>
      <c r="AS223" s="323"/>
      <c r="AU223" s="322"/>
    </row>
    <row r="224" spans="1:47" x14ac:dyDescent="0.3">
      <c r="B224" s="125"/>
      <c r="C224" s="430"/>
      <c r="D224" s="116" t="s">
        <v>830</v>
      </c>
      <c r="E224" s="115"/>
      <c r="P224" s="739"/>
      <c r="Q224" s="739"/>
      <c r="T224" s="337"/>
      <c r="AC224" s="724"/>
      <c r="AD224" s="724"/>
      <c r="AE224" s="336"/>
      <c r="AP224" s="765"/>
      <c r="AQ224" s="765"/>
      <c r="AS224" s="519"/>
      <c r="AU224" s="520"/>
    </row>
    <row r="225" spans="1:47" x14ac:dyDescent="0.3">
      <c r="B225" s="125"/>
      <c r="D225" s="116" t="str">
        <f>Data!AG306</f>
        <v>Fall 2025 ~ ACAD YR 2026</v>
      </c>
      <c r="E225" s="115"/>
      <c r="F225" s="180">
        <f>Data!AA306</f>
        <v>4822</v>
      </c>
      <c r="P225" s="739">
        <f>ROUND(($C$224*$F225),0)</f>
        <v>0</v>
      </c>
      <c r="Q225" s="739"/>
      <c r="T225" s="337"/>
      <c r="AC225" s="724"/>
      <c r="AD225" s="724"/>
      <c r="AE225" s="336"/>
      <c r="AP225" s="765">
        <f>ROUND(SUM(AC225+P225),0)</f>
        <v>0</v>
      </c>
      <c r="AQ225" s="765"/>
      <c r="AS225" s="519">
        <f>P225</f>
        <v>0</v>
      </c>
      <c r="AU225" s="520">
        <f>AC225</f>
        <v>0</v>
      </c>
    </row>
    <row r="226" spans="1:47" x14ac:dyDescent="0.3">
      <c r="B226" s="125"/>
      <c r="C226" s="156"/>
      <c r="D226" s="116" t="str">
        <f>Data!AG307</f>
        <v>Spring 2026 ~ ACAD YR 2026</v>
      </c>
      <c r="E226" s="115"/>
      <c r="F226" s="180">
        <f>Data!AA307</f>
        <v>4822</v>
      </c>
      <c r="P226" s="739">
        <f>ROUND(($C$224*$F226),0)</f>
        <v>0</v>
      </c>
      <c r="Q226" s="739"/>
      <c r="T226" s="337"/>
      <c r="AC226" s="724"/>
      <c r="AD226" s="724"/>
      <c r="AE226" s="336"/>
      <c r="AP226" s="765">
        <f>ROUND(SUM(AC226+P226),0)</f>
        <v>0</v>
      </c>
      <c r="AQ226" s="765"/>
      <c r="AS226" s="519">
        <f>P226</f>
        <v>0</v>
      </c>
      <c r="AU226" s="520">
        <f>AC226</f>
        <v>0</v>
      </c>
    </row>
    <row r="227" spans="1:47" x14ac:dyDescent="0.3">
      <c r="B227" s="125"/>
      <c r="C227" s="156"/>
      <c r="D227" s="116" t="str">
        <f>Data!AG308</f>
        <v>Summer 2026 ~ ACAD YR 2027</v>
      </c>
      <c r="E227" s="115"/>
      <c r="F227" s="180">
        <f>Data!AA308</f>
        <v>1104</v>
      </c>
      <c r="P227" s="739">
        <f>ROUND(($C$224*$F227),0)</f>
        <v>0</v>
      </c>
      <c r="Q227" s="739"/>
      <c r="T227" s="337"/>
      <c r="AC227" s="724"/>
      <c r="AD227" s="724"/>
      <c r="AE227" s="336"/>
      <c r="AP227" s="765">
        <f>ROUND(SUM(AC227+P227),0)</f>
        <v>0</v>
      </c>
      <c r="AQ227" s="765"/>
      <c r="AS227" s="519">
        <f>P227</f>
        <v>0</v>
      </c>
      <c r="AU227" s="520">
        <f>AC227</f>
        <v>0</v>
      </c>
    </row>
    <row r="228" spans="1:47" ht="3" customHeight="1" x14ac:dyDescent="0.3">
      <c r="B228" s="125"/>
      <c r="C228" s="113"/>
      <c r="D228" s="116"/>
      <c r="E228" s="115"/>
      <c r="P228" s="739"/>
      <c r="Q228" s="739"/>
      <c r="T228" s="337"/>
      <c r="AC228" s="724"/>
      <c r="AD228" s="724"/>
      <c r="AE228" s="336"/>
      <c r="AP228" s="765"/>
      <c r="AQ228" s="765"/>
      <c r="AS228" s="519"/>
      <c r="AU228" s="520"/>
    </row>
    <row r="229" spans="1:47" x14ac:dyDescent="0.3">
      <c r="C229" s="279" t="s">
        <v>831</v>
      </c>
      <c r="D229" s="109" t="s">
        <v>832</v>
      </c>
      <c r="E229" s="115"/>
      <c r="P229" s="739">
        <f t="shared" ref="P229" si="4">ROUND(($C$224*$F229),0)</f>
        <v>0</v>
      </c>
      <c r="Q229" s="739"/>
      <c r="T229" s="337"/>
      <c r="AC229" s="724"/>
      <c r="AD229" s="724"/>
      <c r="AE229" s="336"/>
      <c r="AP229" s="765">
        <f>ROUND(SUM(P229:AE229),0)</f>
        <v>0</v>
      </c>
      <c r="AQ229" s="765"/>
      <c r="AS229" s="519"/>
      <c r="AU229" s="520">
        <f t="shared" ref="AU229" si="5">AC229</f>
        <v>0</v>
      </c>
    </row>
    <row r="230" spans="1:47" ht="3" customHeight="1" x14ac:dyDescent="0.3">
      <c r="B230" s="125"/>
      <c r="D230" s="132"/>
      <c r="E230" s="132"/>
      <c r="F230" s="296"/>
      <c r="G230" s="296"/>
      <c r="H230" s="135"/>
      <c r="I230" s="135"/>
      <c r="J230" s="135"/>
      <c r="K230" s="135"/>
      <c r="L230" s="135"/>
      <c r="M230" s="135"/>
      <c r="N230" s="135"/>
      <c r="O230" s="135"/>
      <c r="P230" s="763"/>
      <c r="Q230" s="763"/>
      <c r="R230" s="135"/>
      <c r="S230" s="135"/>
      <c r="T230" s="339"/>
      <c r="U230" s="135"/>
      <c r="V230" s="135"/>
      <c r="W230" s="135"/>
      <c r="X230" s="135"/>
      <c r="Y230" s="135"/>
      <c r="Z230" s="135"/>
      <c r="AA230" s="135"/>
      <c r="AB230" s="135"/>
      <c r="AC230" s="736"/>
      <c r="AD230" s="736"/>
      <c r="AE230" s="340"/>
      <c r="AF230" s="135"/>
      <c r="AG230" s="135"/>
      <c r="AH230" s="135"/>
      <c r="AI230" s="135"/>
      <c r="AJ230" s="135"/>
      <c r="AK230" s="135"/>
      <c r="AL230" s="135"/>
      <c r="AM230" s="135"/>
      <c r="AN230" s="135"/>
      <c r="AO230" s="135"/>
      <c r="AP230" s="763"/>
      <c r="AQ230" s="763"/>
      <c r="AS230" s="323"/>
      <c r="AU230" s="322"/>
    </row>
    <row r="231" spans="1:47" x14ac:dyDescent="0.3">
      <c r="B231" s="125"/>
      <c r="C231" s="109" t="str">
        <f>"Subtotal "&amp;C222</f>
        <v>Subtotal Other</v>
      </c>
      <c r="D231" s="115"/>
      <c r="E231" s="115"/>
      <c r="P231" s="774">
        <f>ROUND(SUM(P223:Q230),0)</f>
        <v>0</v>
      </c>
      <c r="Q231" s="774"/>
      <c r="T231" s="337"/>
      <c r="AC231" s="737">
        <f>ROUND(SUM(AC223:AD230),0)</f>
        <v>0</v>
      </c>
      <c r="AD231" s="737"/>
      <c r="AE231" s="336"/>
      <c r="AP231" s="774">
        <f>ROUND(SUM(AP223:AQ230),0)</f>
        <v>0</v>
      </c>
      <c r="AQ231" s="774"/>
      <c r="AS231" s="323"/>
      <c r="AU231" s="322"/>
    </row>
    <row r="232" spans="1:47" ht="3" customHeight="1" x14ac:dyDescent="0.3">
      <c r="B232" s="135"/>
      <c r="C232" s="136"/>
      <c r="D232" s="132"/>
      <c r="E232" s="132"/>
      <c r="F232" s="296"/>
      <c r="G232" s="296"/>
      <c r="H232" s="135"/>
      <c r="I232" s="135"/>
      <c r="J232" s="135"/>
      <c r="K232" s="135"/>
      <c r="L232" s="135"/>
      <c r="M232" s="135"/>
      <c r="N232" s="135"/>
      <c r="O232" s="135"/>
      <c r="P232" s="300"/>
      <c r="Q232" s="300"/>
      <c r="R232" s="135"/>
      <c r="S232" s="135"/>
      <c r="T232" s="339"/>
      <c r="U232" s="135"/>
      <c r="V232" s="135"/>
      <c r="W232" s="135"/>
      <c r="X232" s="135"/>
      <c r="Y232" s="135"/>
      <c r="Z232" s="135"/>
      <c r="AA232" s="135"/>
      <c r="AB232" s="135"/>
      <c r="AC232" s="313"/>
      <c r="AD232" s="313"/>
      <c r="AE232" s="340"/>
      <c r="AF232" s="135"/>
      <c r="AG232" s="135"/>
      <c r="AH232" s="135"/>
      <c r="AI232" s="135"/>
      <c r="AJ232" s="135"/>
      <c r="AK232" s="135"/>
      <c r="AL232" s="135"/>
      <c r="AM232" s="135"/>
      <c r="AN232" s="135"/>
      <c r="AO232" s="135"/>
      <c r="AP232" s="300"/>
      <c r="AQ232" s="300"/>
      <c r="AS232" s="323"/>
      <c r="AU232" s="322"/>
    </row>
    <row r="233" spans="1:47" x14ac:dyDescent="0.3">
      <c r="B233" s="160" t="str">
        <f>"TOTAL "&amp;B153</f>
        <v>TOTAL OTHER DIRECT COSTS</v>
      </c>
      <c r="C233" s="158"/>
      <c r="D233" s="170"/>
      <c r="E233" s="170"/>
      <c r="F233" s="298"/>
      <c r="G233" s="298"/>
      <c r="H233" s="289"/>
      <c r="I233" s="289"/>
      <c r="J233" s="289"/>
      <c r="K233" s="289"/>
      <c r="L233" s="289"/>
      <c r="M233" s="289"/>
      <c r="N233" s="289"/>
      <c r="O233" s="289"/>
      <c r="P233" s="726">
        <f>ROUND(P166+P175+P184+P193+P202+P211+P220+P231,0)</f>
        <v>0</v>
      </c>
      <c r="Q233" s="726"/>
      <c r="R233" s="289"/>
      <c r="S233" s="289"/>
      <c r="T233" s="341"/>
      <c r="U233" s="289"/>
      <c r="V233" s="289"/>
      <c r="W233" s="289"/>
      <c r="X233" s="289"/>
      <c r="Y233" s="289"/>
      <c r="Z233" s="289"/>
      <c r="AA233" s="289"/>
      <c r="AB233" s="289"/>
      <c r="AC233" s="727">
        <f>ROUND(AC166+AC175+AC184+AC193+AC202+AC211+AC220+AC231,0)</f>
        <v>0</v>
      </c>
      <c r="AD233" s="727"/>
      <c r="AE233" s="342"/>
      <c r="AF233" s="289"/>
      <c r="AG233" s="289"/>
      <c r="AH233" s="289"/>
      <c r="AI233" s="289"/>
      <c r="AJ233" s="289"/>
      <c r="AK233" s="289"/>
      <c r="AL233" s="289"/>
      <c r="AM233" s="289"/>
      <c r="AN233" s="289"/>
      <c r="AO233" s="289"/>
      <c r="AP233" s="776">
        <f>ROUND(SUM(P233:AE233),0)</f>
        <v>0</v>
      </c>
      <c r="AQ233" s="776"/>
      <c r="AS233" s="323">
        <f>SUM(AS11:AS232)</f>
        <v>0</v>
      </c>
      <c r="AU233" s="322">
        <f>SUM(AU11:AU232)</f>
        <v>0</v>
      </c>
    </row>
    <row r="234" spans="1:47" ht="3" customHeight="1" x14ac:dyDescent="0.3">
      <c r="B234" s="125"/>
      <c r="C234" s="109"/>
      <c r="D234" s="115"/>
      <c r="E234" s="115"/>
      <c r="P234" s="278"/>
      <c r="Q234" s="278"/>
      <c r="T234" s="337"/>
      <c r="AC234" s="108"/>
      <c r="AD234" s="108"/>
      <c r="AE234" s="336"/>
      <c r="AS234" s="325"/>
      <c r="AT234" s="134"/>
      <c r="AU234" s="326"/>
    </row>
    <row r="235" spans="1:47" x14ac:dyDescent="0.3">
      <c r="A235" s="109" t="s">
        <v>676</v>
      </c>
      <c r="B235" s="160" t="s">
        <v>833</v>
      </c>
      <c r="C235" s="158"/>
      <c r="D235" s="170"/>
      <c r="E235" s="170"/>
      <c r="F235" s="298"/>
      <c r="G235" s="298"/>
      <c r="H235" s="289"/>
      <c r="I235" s="289"/>
      <c r="J235" s="289"/>
      <c r="K235" s="289"/>
      <c r="L235" s="289"/>
      <c r="M235" s="289"/>
      <c r="N235" s="289"/>
      <c r="O235" s="289"/>
      <c r="P235" s="726">
        <f>ROUND(P43+P67+P76+P103+P151+P233,0)</f>
        <v>0</v>
      </c>
      <c r="Q235" s="726"/>
      <c r="R235" s="289"/>
      <c r="S235" s="289"/>
      <c r="T235" s="341"/>
      <c r="U235" s="289"/>
      <c r="V235" s="289"/>
      <c r="W235" s="289"/>
      <c r="X235" s="289"/>
      <c r="Y235" s="289"/>
      <c r="Z235" s="289"/>
      <c r="AA235" s="289"/>
      <c r="AB235" s="289"/>
      <c r="AC235" s="727">
        <f>ROUND(AC43+AC67+AC76+AC103+AC151+AC233,0)</f>
        <v>0</v>
      </c>
      <c r="AD235" s="727"/>
      <c r="AE235" s="342"/>
      <c r="AF235" s="289"/>
      <c r="AG235" s="289"/>
      <c r="AH235" s="289"/>
      <c r="AI235" s="289"/>
      <c r="AJ235" s="289"/>
      <c r="AK235" s="289"/>
      <c r="AL235" s="289"/>
      <c r="AM235" s="289"/>
      <c r="AN235" s="289"/>
      <c r="AO235" s="289"/>
      <c r="AP235" s="726">
        <f>ROUND(AP43+AP67+AP76+AP103+AP151+AP233,0)</f>
        <v>0</v>
      </c>
      <c r="AQ235" s="726"/>
      <c r="AS235" s="107"/>
      <c r="AU235" s="107"/>
    </row>
    <row r="236" spans="1:47" ht="3" customHeight="1" x14ac:dyDescent="0.3">
      <c r="B236" s="125"/>
      <c r="C236" s="109"/>
      <c r="D236" s="115"/>
      <c r="E236" s="115"/>
      <c r="P236" s="278"/>
      <c r="Q236" s="278"/>
      <c r="T236" s="337"/>
      <c r="AC236" s="108"/>
      <c r="AD236" s="108"/>
      <c r="AE236" s="336"/>
    </row>
    <row r="237" spans="1:47" x14ac:dyDescent="0.3">
      <c r="A237" s="109" t="s">
        <v>678</v>
      </c>
      <c r="B237" s="109" t="s">
        <v>779</v>
      </c>
      <c r="T237" s="337"/>
      <c r="AE237" s="336"/>
    </row>
    <row r="238" spans="1:47" ht="3" customHeight="1" x14ac:dyDescent="0.3">
      <c r="T238" s="337"/>
      <c r="AE238" s="336"/>
    </row>
    <row r="239" spans="1:47" x14ac:dyDescent="0.3">
      <c r="B239" s="106" t="s">
        <v>834</v>
      </c>
      <c r="C239" s="138"/>
      <c r="T239" s="337"/>
      <c r="AE239" s="336"/>
    </row>
    <row r="240" spans="1:47" x14ac:dyDescent="0.3">
      <c r="B240" s="138"/>
      <c r="C240" s="138" t="s">
        <v>685</v>
      </c>
      <c r="P240" s="731">
        <f>P235</f>
        <v>0</v>
      </c>
      <c r="Q240" s="731"/>
      <c r="T240" s="337"/>
      <c r="AC240" s="731">
        <f>AC235</f>
        <v>0</v>
      </c>
      <c r="AD240" s="731"/>
      <c r="AE240" s="336"/>
      <c r="AP240" s="728">
        <f>ROUND(SUM(P240:AC240),0)</f>
        <v>0</v>
      </c>
      <c r="AQ240" s="728"/>
    </row>
    <row r="241" spans="1:43" ht="14.4" x14ac:dyDescent="0.3">
      <c r="B241" s="138"/>
      <c r="C241" s="138" t="s">
        <v>686</v>
      </c>
      <c r="D241" s="139"/>
      <c r="E241" s="139"/>
      <c r="F241" s="299"/>
      <c r="G241" s="299"/>
      <c r="P241" s="731">
        <f>-AS233</f>
        <v>0</v>
      </c>
      <c r="Q241" s="731"/>
      <c r="T241" s="337"/>
      <c r="AC241" s="731">
        <f>-AU233</f>
        <v>0</v>
      </c>
      <c r="AD241" s="731"/>
      <c r="AE241" s="336"/>
      <c r="AP241" s="728">
        <f>ROUND(SUM(P241:AC241),0)</f>
        <v>0</v>
      </c>
      <c r="AQ241" s="728"/>
    </row>
    <row r="242" spans="1:43" ht="3" customHeight="1" x14ac:dyDescent="0.3">
      <c r="B242" s="138"/>
      <c r="C242" s="138"/>
      <c r="D242" s="139"/>
      <c r="E242" s="139"/>
      <c r="F242" s="299"/>
      <c r="G242" s="299"/>
      <c r="P242" s="296"/>
      <c r="Q242" s="296"/>
      <c r="T242" s="337"/>
      <c r="AC242" s="296"/>
      <c r="AD242" s="296"/>
      <c r="AE242" s="336"/>
      <c r="AP242" s="300"/>
      <c r="AQ242" s="300"/>
    </row>
    <row r="243" spans="1:43" ht="14.4" x14ac:dyDescent="0.3">
      <c r="B243" s="138" t="s">
        <v>687</v>
      </c>
      <c r="C243" s="138"/>
      <c r="D243" s="139"/>
      <c r="E243" s="139"/>
      <c r="F243" s="299"/>
      <c r="G243" s="299"/>
      <c r="P243" s="764">
        <f>SUM(P240:Q242)</f>
        <v>0</v>
      </c>
      <c r="Q243" s="764"/>
      <c r="T243" s="337"/>
      <c r="AC243" s="764">
        <f>SUM(AC240:AD242)</f>
        <v>0</v>
      </c>
      <c r="AD243" s="764"/>
      <c r="AE243" s="336"/>
      <c r="AP243" s="762">
        <f>ROUND(SUM(P243:AD243),0)</f>
        <v>0</v>
      </c>
      <c r="AQ243" s="762"/>
    </row>
    <row r="244" spans="1:43" ht="3" customHeight="1" x14ac:dyDescent="0.3">
      <c r="B244" s="138"/>
      <c r="C244" s="138"/>
      <c r="D244" s="139"/>
      <c r="E244" s="139"/>
      <c r="F244" s="299"/>
      <c r="G244" s="299"/>
      <c r="T244" s="337"/>
      <c r="AE244" s="336"/>
    </row>
    <row r="245" spans="1:43" ht="14.4" x14ac:dyDescent="0.3">
      <c r="B245" s="142"/>
      <c r="C245" s="138" t="str">
        <f>CONCATENATE("SDSM&amp;T  Indirect  @ ",TEXT(INDIRECT,"0.0%"))</f>
        <v>SDSM&amp;T  Indirect  @ 42.0%</v>
      </c>
      <c r="D245" s="139"/>
      <c r="E245" s="139"/>
      <c r="F245" s="299"/>
      <c r="G245" s="299"/>
      <c r="P245" s="739">
        <f>ROUND(P243*INDIRECT,0)</f>
        <v>0</v>
      </c>
      <c r="Q245" s="739"/>
      <c r="T245" s="337"/>
      <c r="AC245" s="724">
        <f>ROUND(AC243*INDIRECT,0)</f>
        <v>0</v>
      </c>
      <c r="AD245" s="724"/>
      <c r="AE245" s="336"/>
      <c r="AP245" s="765">
        <f>ROUND(SUM(P245:AE245),0)</f>
        <v>0</v>
      </c>
      <c r="AQ245" s="765"/>
    </row>
    <row r="246" spans="1:43" ht="3" customHeight="1" x14ac:dyDescent="0.3">
      <c r="B246" s="138"/>
      <c r="C246" s="138"/>
      <c r="D246" s="139"/>
      <c r="E246" s="139"/>
      <c r="F246" s="299"/>
      <c r="G246" s="299"/>
      <c r="T246" s="337"/>
      <c r="AE246" s="336"/>
    </row>
    <row r="247" spans="1:43" x14ac:dyDescent="0.3">
      <c r="B247" s="142"/>
      <c r="D247" s="138" t="str">
        <f>"SDSM&amp;T Unrecovered Indirect @ "&amp;TEXT(-COSTSHARERATE,"0.0%")</f>
        <v>SDSM&amp;T Unrecovered Indirect @ 0.0%</v>
      </c>
      <c r="E247" s="138"/>
      <c r="F247" s="301"/>
      <c r="G247" s="301"/>
      <c r="P247" s="739">
        <f>-(P245-P249)</f>
        <v>0</v>
      </c>
      <c r="Q247" s="739"/>
      <c r="T247" s="337"/>
      <c r="AC247" s="724">
        <f>-P247</f>
        <v>0</v>
      </c>
      <c r="AD247" s="724"/>
      <c r="AE247" s="336"/>
      <c r="AP247" s="765">
        <f>ROUND(SUM(P247:AE247),0)</f>
        <v>0</v>
      </c>
      <c r="AQ247" s="765"/>
    </row>
    <row r="248" spans="1:43" ht="3" customHeight="1" x14ac:dyDescent="0.3">
      <c r="B248" s="138"/>
      <c r="C248" s="138"/>
      <c r="D248" s="139"/>
      <c r="E248" s="139"/>
      <c r="F248" s="299"/>
      <c r="G248" s="299"/>
      <c r="T248" s="337"/>
      <c r="AE248" s="336"/>
    </row>
    <row r="249" spans="1:43" ht="14.4" x14ac:dyDescent="0.3">
      <c r="B249" s="142"/>
      <c r="C249" s="138" t="str">
        <f>"SDSM&amp;T Indirect Recovered @ "&amp;TEXT(RECOVERED,"0.0%")</f>
        <v>SDSM&amp;T Indirect Recovered @ 42.0%</v>
      </c>
      <c r="D249" s="139"/>
      <c r="E249" s="139"/>
      <c r="F249" s="299"/>
      <c r="G249" s="299"/>
      <c r="P249" s="739">
        <f>ROUND(P243*RECOVERED,0)</f>
        <v>0</v>
      </c>
      <c r="Q249" s="739"/>
      <c r="T249" s="337"/>
      <c r="AC249" s="724"/>
      <c r="AD249" s="724"/>
      <c r="AE249" s="336"/>
      <c r="AP249" s="765">
        <f>ROUND(SUM(P249:AE249),0)</f>
        <v>0</v>
      </c>
      <c r="AQ249" s="765"/>
    </row>
    <row r="250" spans="1:43" ht="3" customHeight="1" x14ac:dyDescent="0.3">
      <c r="B250" s="134"/>
      <c r="C250" s="134"/>
      <c r="D250" s="144"/>
      <c r="E250" s="144"/>
      <c r="F250" s="302"/>
      <c r="G250" s="302"/>
      <c r="H250" s="135"/>
      <c r="I250" s="135"/>
      <c r="J250" s="135"/>
      <c r="K250" s="135"/>
      <c r="L250" s="135"/>
      <c r="M250" s="135"/>
      <c r="N250" s="135"/>
      <c r="O250" s="135"/>
      <c r="P250" s="296"/>
      <c r="Q250" s="296"/>
      <c r="R250" s="135"/>
      <c r="S250" s="135"/>
      <c r="T250" s="339"/>
      <c r="U250" s="135"/>
      <c r="V250" s="135"/>
      <c r="W250" s="135"/>
      <c r="X250" s="135"/>
      <c r="Y250" s="135"/>
      <c r="Z250" s="135"/>
      <c r="AA250" s="135"/>
      <c r="AB250" s="135"/>
      <c r="AC250" s="141"/>
      <c r="AD250" s="141"/>
      <c r="AE250" s="340"/>
      <c r="AF250" s="135"/>
      <c r="AG250" s="135"/>
      <c r="AH250" s="135"/>
      <c r="AI250" s="135"/>
      <c r="AJ250" s="135"/>
      <c r="AK250" s="135"/>
      <c r="AL250" s="135"/>
      <c r="AM250" s="135"/>
      <c r="AN250" s="135"/>
      <c r="AO250" s="135"/>
      <c r="AP250" s="300"/>
      <c r="AQ250" s="300"/>
    </row>
    <row r="251" spans="1:43" ht="14.4" x14ac:dyDescent="0.3">
      <c r="B251" s="158" t="str">
        <f>CONCATENATE("TOTAL ALL ",B237)</f>
        <v>TOTAL ALL INDIRECT COSTS</v>
      </c>
      <c r="C251" s="159"/>
      <c r="D251" s="172"/>
      <c r="E251" s="172"/>
      <c r="F251" s="303"/>
      <c r="G251" s="303"/>
      <c r="H251" s="289"/>
      <c r="I251" s="289"/>
      <c r="J251" s="289"/>
      <c r="K251" s="289"/>
      <c r="L251" s="289"/>
      <c r="M251" s="289"/>
      <c r="N251" s="289"/>
      <c r="O251" s="289"/>
      <c r="P251" s="726">
        <f>P249</f>
        <v>0</v>
      </c>
      <c r="Q251" s="726"/>
      <c r="R251" s="289"/>
      <c r="S251" s="289"/>
      <c r="T251" s="341"/>
      <c r="U251" s="289"/>
      <c r="V251" s="289"/>
      <c r="W251" s="289"/>
      <c r="X251" s="289"/>
      <c r="Y251" s="289"/>
      <c r="Z251" s="289"/>
      <c r="AA251" s="289"/>
      <c r="AB251" s="289"/>
      <c r="AC251" s="727">
        <f>SUM(AC245:AD249)</f>
        <v>0</v>
      </c>
      <c r="AD251" s="727"/>
      <c r="AE251" s="342"/>
      <c r="AF251" s="289"/>
      <c r="AG251" s="289"/>
      <c r="AH251" s="289"/>
      <c r="AI251" s="289"/>
      <c r="AJ251" s="289"/>
      <c r="AK251" s="289"/>
      <c r="AL251" s="289"/>
      <c r="AM251" s="289"/>
      <c r="AN251" s="289"/>
      <c r="AO251" s="289"/>
      <c r="AP251" s="776">
        <f>ROUND(SUM(P251:AE251),0)</f>
        <v>0</v>
      </c>
      <c r="AQ251" s="776"/>
    </row>
    <row r="252" spans="1:43" ht="3" customHeight="1" x14ac:dyDescent="0.3">
      <c r="D252" s="139"/>
      <c r="E252" s="139"/>
      <c r="F252" s="299"/>
      <c r="G252" s="299"/>
      <c r="T252" s="337"/>
      <c r="AE252" s="336"/>
    </row>
    <row r="253" spans="1:43" ht="14.4" x14ac:dyDescent="0.3">
      <c r="A253" s="109" t="s">
        <v>680</v>
      </c>
      <c r="B253" s="174" t="s">
        <v>835</v>
      </c>
      <c r="C253" s="159"/>
      <c r="D253" s="172"/>
      <c r="E253" s="172"/>
      <c r="F253" s="303"/>
      <c r="G253" s="303"/>
      <c r="H253" s="289"/>
      <c r="I253" s="289"/>
      <c r="J253" s="289"/>
      <c r="K253" s="289"/>
      <c r="L253" s="289"/>
      <c r="M253" s="289"/>
      <c r="N253" s="289"/>
      <c r="O253" s="289"/>
      <c r="P253" s="726">
        <f>ROUND(P251+P235,0)</f>
        <v>0</v>
      </c>
      <c r="Q253" s="726"/>
      <c r="R253" s="289"/>
      <c r="S253" s="289"/>
      <c r="T253" s="341"/>
      <c r="U253" s="289"/>
      <c r="V253" s="289"/>
      <c r="W253" s="289"/>
      <c r="X253" s="289"/>
      <c r="Y253" s="289"/>
      <c r="Z253" s="289"/>
      <c r="AA253" s="289"/>
      <c r="AB253" s="289"/>
      <c r="AC253" s="727">
        <f>ROUND(AC251+AC235,0)</f>
        <v>0</v>
      </c>
      <c r="AD253" s="727"/>
      <c r="AE253" s="342"/>
      <c r="AF253" s="289"/>
      <c r="AG253" s="289"/>
      <c r="AH253" s="289"/>
      <c r="AI253" s="289"/>
      <c r="AJ253" s="289"/>
      <c r="AK253" s="289"/>
      <c r="AL253" s="289"/>
      <c r="AM253" s="289"/>
      <c r="AN253" s="289"/>
      <c r="AO253" s="289"/>
      <c r="AP253" s="776">
        <f>ROUND(SUM(P253:AE253),0)</f>
        <v>0</v>
      </c>
      <c r="AQ253" s="776"/>
    </row>
    <row r="254" spans="1:43" ht="3" customHeight="1" x14ac:dyDescent="0.3">
      <c r="D254" s="139"/>
      <c r="E254" s="139"/>
      <c r="F254" s="299"/>
      <c r="G254" s="299"/>
      <c r="T254" s="337"/>
      <c r="AE254" s="336"/>
    </row>
    <row r="255" spans="1:43" x14ac:dyDescent="0.3">
      <c r="B255" s="125" t="s">
        <v>690</v>
      </c>
      <c r="C255" s="106" t="s">
        <v>691</v>
      </c>
      <c r="T255" s="337"/>
      <c r="AE255" s="336"/>
    </row>
    <row r="256" spans="1:43" ht="3" customHeight="1" x14ac:dyDescent="0.3">
      <c r="T256" s="337"/>
      <c r="AE256" s="336"/>
    </row>
    <row r="257" spans="1:43" x14ac:dyDescent="0.3">
      <c r="A257" s="109" t="s">
        <v>682</v>
      </c>
      <c r="B257" s="158" t="s">
        <v>838</v>
      </c>
      <c r="C257" s="158"/>
      <c r="D257" s="158"/>
      <c r="E257" s="158"/>
      <c r="F257" s="288"/>
      <c r="G257" s="288"/>
      <c r="H257" s="434"/>
      <c r="I257" s="434"/>
      <c r="J257" s="434"/>
      <c r="K257" s="434"/>
      <c r="L257" s="434"/>
      <c r="M257" s="434"/>
      <c r="N257" s="434"/>
      <c r="O257" s="289"/>
      <c r="P257" s="726">
        <f>ROUND(P253*Data!$E$36,0)</f>
        <v>0</v>
      </c>
      <c r="Q257" s="726"/>
      <c r="R257" s="434"/>
      <c r="S257" s="434"/>
      <c r="T257" s="436"/>
      <c r="U257" s="434"/>
      <c r="V257" s="434"/>
      <c r="W257" s="434"/>
      <c r="X257" s="434"/>
      <c r="Y257" s="434"/>
      <c r="Z257" s="434"/>
      <c r="AA257" s="434"/>
      <c r="AB257" s="289"/>
      <c r="AC257" s="726">
        <f>ROUND(AC253*Data!$E$36,0)</f>
        <v>0</v>
      </c>
      <c r="AD257" s="726"/>
      <c r="AE257" s="437"/>
      <c r="AF257" s="288"/>
      <c r="AG257" s="434"/>
      <c r="AH257" s="434"/>
      <c r="AI257" s="434"/>
      <c r="AJ257" s="434"/>
      <c r="AK257" s="434"/>
      <c r="AL257" s="434"/>
      <c r="AM257" s="434"/>
      <c r="AN257" s="434"/>
      <c r="AO257" s="289"/>
      <c r="AP257" s="726">
        <f>ROUND(AP253*Data!$E$36,0)</f>
        <v>0</v>
      </c>
      <c r="AQ257" s="726"/>
    </row>
    <row r="258" spans="1:43" ht="3" customHeight="1" x14ac:dyDescent="0.3">
      <c r="T258" s="337"/>
      <c r="AE258" s="336"/>
    </row>
    <row r="259" spans="1:43" x14ac:dyDescent="0.3">
      <c r="A259" s="109" t="s">
        <v>688</v>
      </c>
      <c r="B259" s="158" t="s">
        <v>837</v>
      </c>
      <c r="C259" s="158"/>
      <c r="D259" s="158"/>
      <c r="E259" s="158"/>
      <c r="F259" s="288"/>
      <c r="G259" s="288"/>
      <c r="H259" s="434"/>
      <c r="I259" s="434"/>
      <c r="J259" s="434"/>
      <c r="K259" s="434"/>
      <c r="L259" s="434"/>
      <c r="M259" s="434"/>
      <c r="N259" s="434"/>
      <c r="O259" s="434"/>
      <c r="P259" s="288"/>
      <c r="Q259" s="288">
        <f>P257+P253</f>
        <v>0</v>
      </c>
      <c r="R259" s="434"/>
      <c r="S259" s="434"/>
      <c r="T259" s="436"/>
      <c r="U259" s="434"/>
      <c r="V259" s="434"/>
      <c r="W259" s="434"/>
      <c r="X259" s="434"/>
      <c r="Y259" s="434"/>
      <c r="Z259" s="434"/>
      <c r="AA259" s="434"/>
      <c r="AB259" s="434"/>
      <c r="AC259" s="309"/>
      <c r="AD259" s="288">
        <f>AC257+AC253</f>
        <v>0</v>
      </c>
      <c r="AE259" s="438"/>
      <c r="AF259" s="434"/>
      <c r="AG259" s="434"/>
      <c r="AH259" s="434"/>
      <c r="AI259" s="434"/>
      <c r="AJ259" s="434"/>
      <c r="AK259" s="434"/>
      <c r="AL259" s="434"/>
      <c r="AM259" s="434"/>
      <c r="AN259" s="434"/>
      <c r="AO259" s="434"/>
      <c r="AP259" s="288"/>
      <c r="AQ259" s="288">
        <f>AP257+AP253</f>
        <v>0</v>
      </c>
    </row>
    <row r="260" spans="1:43" ht="5.25" customHeight="1" x14ac:dyDescent="0.3">
      <c r="T260" s="339"/>
      <c r="U260" s="135"/>
      <c r="V260" s="135"/>
      <c r="W260" s="135"/>
      <c r="X260" s="135"/>
      <c r="Y260" s="135"/>
      <c r="Z260" s="135"/>
      <c r="AA260" s="135"/>
      <c r="AB260" s="135"/>
      <c r="AC260" s="141"/>
      <c r="AD260" s="141"/>
      <c r="AE260" s="340"/>
    </row>
  </sheetData>
  <mergeCells count="480">
    <mergeCell ref="AP87:AQ87"/>
    <mergeCell ref="AP88:AQ88"/>
    <mergeCell ref="AP89:AQ89"/>
    <mergeCell ref="AP90:AQ90"/>
    <mergeCell ref="P251:Q251"/>
    <mergeCell ref="AC251:AD251"/>
    <mergeCell ref="AP251:AQ251"/>
    <mergeCell ref="P253:Q253"/>
    <mergeCell ref="AC253:AD253"/>
    <mergeCell ref="AP253:AQ253"/>
    <mergeCell ref="P247:Q247"/>
    <mergeCell ref="AC247:AD247"/>
    <mergeCell ref="AP247:AQ247"/>
    <mergeCell ref="P249:Q249"/>
    <mergeCell ref="AC249:AD249"/>
    <mergeCell ref="AP249:AQ249"/>
    <mergeCell ref="P235:Q235"/>
    <mergeCell ref="AC235:AD235"/>
    <mergeCell ref="AP235:AQ235"/>
    <mergeCell ref="P245:Q245"/>
    <mergeCell ref="AC245:AD245"/>
    <mergeCell ref="AP245:AQ245"/>
    <mergeCell ref="P231:Q231"/>
    <mergeCell ref="AC231:AD231"/>
    <mergeCell ref="AP231:AQ231"/>
    <mergeCell ref="P233:Q233"/>
    <mergeCell ref="AC233:AD233"/>
    <mergeCell ref="AP233:AQ233"/>
    <mergeCell ref="P240:Q240"/>
    <mergeCell ref="P241:Q241"/>
    <mergeCell ref="P243:Q243"/>
    <mergeCell ref="AC243:AD243"/>
    <mergeCell ref="AC241:AD241"/>
    <mergeCell ref="AC240:AD240"/>
    <mergeCell ref="AP240:AQ240"/>
    <mergeCell ref="AP241:AQ241"/>
    <mergeCell ref="AP243:AQ243"/>
    <mergeCell ref="P230:Q230"/>
    <mergeCell ref="AC230:AD230"/>
    <mergeCell ref="AP230:AQ230"/>
    <mergeCell ref="P228:Q228"/>
    <mergeCell ref="AC228:AD228"/>
    <mergeCell ref="AP228:AQ228"/>
    <mergeCell ref="P229:Q229"/>
    <mergeCell ref="AC229:AD229"/>
    <mergeCell ref="AP229:AQ229"/>
    <mergeCell ref="P226:Q226"/>
    <mergeCell ref="AC226:AD226"/>
    <mergeCell ref="AP226:AQ226"/>
    <mergeCell ref="P227:Q227"/>
    <mergeCell ref="AC227:AD227"/>
    <mergeCell ref="AP227:AQ227"/>
    <mergeCell ref="P224:Q224"/>
    <mergeCell ref="AC224:AD224"/>
    <mergeCell ref="AP224:AQ224"/>
    <mergeCell ref="P225:Q225"/>
    <mergeCell ref="AC225:AD225"/>
    <mergeCell ref="AP225:AQ225"/>
    <mergeCell ref="P220:Q220"/>
    <mergeCell ref="AC220:AD220"/>
    <mergeCell ref="AP220:AQ220"/>
    <mergeCell ref="P223:Q223"/>
    <mergeCell ref="AC223:AD223"/>
    <mergeCell ref="AP223:AQ223"/>
    <mergeCell ref="P218:Q218"/>
    <mergeCell ref="AC218:AD218"/>
    <mergeCell ref="AP218:AQ218"/>
    <mergeCell ref="P219:Q219"/>
    <mergeCell ref="AC219:AD219"/>
    <mergeCell ref="AP219:AQ219"/>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P210:Q210"/>
    <mergeCell ref="AC210:AD210"/>
    <mergeCell ref="AP210:AQ210"/>
    <mergeCell ref="P211:Q211"/>
    <mergeCell ref="AC211:AD211"/>
    <mergeCell ref="AP211:AQ211"/>
    <mergeCell ref="P208:Q208"/>
    <mergeCell ref="AC208:AD208"/>
    <mergeCell ref="AP208:AQ208"/>
    <mergeCell ref="P209:Q209"/>
    <mergeCell ref="AC209:AD209"/>
    <mergeCell ref="AP209:AQ209"/>
    <mergeCell ref="P206:Q206"/>
    <mergeCell ref="AC206:AD206"/>
    <mergeCell ref="AP206:AQ206"/>
    <mergeCell ref="P207:Q207"/>
    <mergeCell ref="AC207:AD207"/>
    <mergeCell ref="AP207:AQ207"/>
    <mergeCell ref="P202:Q202"/>
    <mergeCell ref="AC202:AD202"/>
    <mergeCell ref="AP202:AQ202"/>
    <mergeCell ref="P205:Q205"/>
    <mergeCell ref="AC205:AD205"/>
    <mergeCell ref="AP205:AQ205"/>
    <mergeCell ref="P200:Q200"/>
    <mergeCell ref="AC200:AD200"/>
    <mergeCell ref="AP200:AQ200"/>
    <mergeCell ref="P201:Q201"/>
    <mergeCell ref="AC201:AD201"/>
    <mergeCell ref="AP201:AQ201"/>
    <mergeCell ref="P198:Q198"/>
    <mergeCell ref="AC198:AD198"/>
    <mergeCell ref="AP198:AQ198"/>
    <mergeCell ref="P199:Q199"/>
    <mergeCell ref="AC199:AD199"/>
    <mergeCell ref="AP199:AQ199"/>
    <mergeCell ref="P196:Q196"/>
    <mergeCell ref="AC196:AD196"/>
    <mergeCell ref="AP196:AQ196"/>
    <mergeCell ref="P197:Q197"/>
    <mergeCell ref="AC197:AD197"/>
    <mergeCell ref="AP197:AQ197"/>
    <mergeCell ref="P192:Q192"/>
    <mergeCell ref="AC192:AD192"/>
    <mergeCell ref="AP192:AQ192"/>
    <mergeCell ref="P193:Q193"/>
    <mergeCell ref="AC193:AD193"/>
    <mergeCell ref="AP193:AQ193"/>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70:Q170"/>
    <mergeCell ref="AC170:AD170"/>
    <mergeCell ref="AP170:AQ170"/>
    <mergeCell ref="P171:Q171"/>
    <mergeCell ref="AC171:AD171"/>
    <mergeCell ref="AP171:AQ171"/>
    <mergeCell ref="P166:Q166"/>
    <mergeCell ref="AC166:AD166"/>
    <mergeCell ref="AP166:AQ166"/>
    <mergeCell ref="P169:Q169"/>
    <mergeCell ref="AC169:AD169"/>
    <mergeCell ref="AP169:AQ169"/>
    <mergeCell ref="P164:Q164"/>
    <mergeCell ref="AC164:AD164"/>
    <mergeCell ref="AP164:AQ164"/>
    <mergeCell ref="P165:Q165"/>
    <mergeCell ref="AC165:AD165"/>
    <mergeCell ref="AP165:AQ165"/>
    <mergeCell ref="P162:Q162"/>
    <mergeCell ref="AC162:AD162"/>
    <mergeCell ref="AP162:AQ162"/>
    <mergeCell ref="P163:Q163"/>
    <mergeCell ref="AC163:AD163"/>
    <mergeCell ref="AP163:AQ163"/>
    <mergeCell ref="P155:Q155"/>
    <mergeCell ref="AC155:AD155"/>
    <mergeCell ref="AP155:AQ155"/>
    <mergeCell ref="P161:Q161"/>
    <mergeCell ref="AC161:AD161"/>
    <mergeCell ref="AP161:AQ161"/>
    <mergeCell ref="B150:L150"/>
    <mergeCell ref="P150:Q150"/>
    <mergeCell ref="AC150:AD150"/>
    <mergeCell ref="AP150:AQ150"/>
    <mergeCell ref="P151:Q151"/>
    <mergeCell ref="AC151:AD151"/>
    <mergeCell ref="AP151:AQ151"/>
    <mergeCell ref="P156:Q156"/>
    <mergeCell ref="P157:Q157"/>
    <mergeCell ref="P158:Q158"/>
    <mergeCell ref="P159:Q159"/>
    <mergeCell ref="P160:Q160"/>
    <mergeCell ref="P148:Q148"/>
    <mergeCell ref="AC148:AD148"/>
    <mergeCell ref="AP148:AQ148"/>
    <mergeCell ref="P149:Q149"/>
    <mergeCell ref="AC149:AD149"/>
    <mergeCell ref="AP149:AQ149"/>
    <mergeCell ref="P146:Q146"/>
    <mergeCell ref="AC146:AD146"/>
    <mergeCell ref="AP146:AQ146"/>
    <mergeCell ref="P147:Q147"/>
    <mergeCell ref="AC147:AD147"/>
    <mergeCell ref="AP147:AQ147"/>
    <mergeCell ref="P144:Q144"/>
    <mergeCell ref="AC144:AD144"/>
    <mergeCell ref="AP144:AQ144"/>
    <mergeCell ref="P145:Q145"/>
    <mergeCell ref="AC145:AD145"/>
    <mergeCell ref="AP145:AQ145"/>
    <mergeCell ref="P140:Q140"/>
    <mergeCell ref="AC140:AD140"/>
    <mergeCell ref="AP140:AQ140"/>
    <mergeCell ref="P143:Q143"/>
    <mergeCell ref="AC143:AD143"/>
    <mergeCell ref="AP143:AQ143"/>
    <mergeCell ref="P138:Q138"/>
    <mergeCell ref="AC138:AD138"/>
    <mergeCell ref="AP138:AQ138"/>
    <mergeCell ref="P139:Q139"/>
    <mergeCell ref="AC139:AD139"/>
    <mergeCell ref="AP139:AQ139"/>
    <mergeCell ref="P136:Q136"/>
    <mergeCell ref="AC136:AD136"/>
    <mergeCell ref="AP136:AQ136"/>
    <mergeCell ref="P137:Q137"/>
    <mergeCell ref="AC137:AD137"/>
    <mergeCell ref="AP137:AQ137"/>
    <mergeCell ref="P134:Q134"/>
    <mergeCell ref="AC134:AD134"/>
    <mergeCell ref="AP134:AQ134"/>
    <mergeCell ref="P135:Q135"/>
    <mergeCell ref="AC135:AD135"/>
    <mergeCell ref="AP135:AQ135"/>
    <mergeCell ref="P130:Q130"/>
    <mergeCell ref="AC130:AD130"/>
    <mergeCell ref="AP130:AQ130"/>
    <mergeCell ref="P131:Q131"/>
    <mergeCell ref="AC131:AD131"/>
    <mergeCell ref="AP131:AQ131"/>
    <mergeCell ref="P128:Q128"/>
    <mergeCell ref="AC128:AD128"/>
    <mergeCell ref="AP128:AQ128"/>
    <mergeCell ref="P129:Q129"/>
    <mergeCell ref="AC129:AD129"/>
    <mergeCell ref="AP129:AQ129"/>
    <mergeCell ref="P126:Q126"/>
    <mergeCell ref="AC126:AD126"/>
    <mergeCell ref="AP126:AQ126"/>
    <mergeCell ref="P127:Q127"/>
    <mergeCell ref="AC127:AD127"/>
    <mergeCell ref="AP127:AQ127"/>
    <mergeCell ref="P122:Q122"/>
    <mergeCell ref="AC122:AD122"/>
    <mergeCell ref="AP122:AQ122"/>
    <mergeCell ref="P125:Q125"/>
    <mergeCell ref="AC125:AD125"/>
    <mergeCell ref="AP125:AQ125"/>
    <mergeCell ref="P120:Q120"/>
    <mergeCell ref="AC120:AD120"/>
    <mergeCell ref="AP120:AQ120"/>
    <mergeCell ref="P121:Q121"/>
    <mergeCell ref="AC121:AD121"/>
    <mergeCell ref="AP121:AQ12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12:Q112"/>
    <mergeCell ref="AC112:AD112"/>
    <mergeCell ref="AP112:AQ112"/>
    <mergeCell ref="P113:Q113"/>
    <mergeCell ref="AC113:AD113"/>
    <mergeCell ref="AP113:AQ113"/>
    <mergeCell ref="P110:Q110"/>
    <mergeCell ref="AC110:AD110"/>
    <mergeCell ref="AP110:AQ110"/>
    <mergeCell ref="P111:Q111"/>
    <mergeCell ref="AC111:AD111"/>
    <mergeCell ref="AP111:AQ111"/>
    <mergeCell ref="P108:Q108"/>
    <mergeCell ref="AC108:AD108"/>
    <mergeCell ref="AP108:AQ108"/>
    <mergeCell ref="P109:Q109"/>
    <mergeCell ref="AC109:AD109"/>
    <mergeCell ref="AP109:AQ109"/>
    <mergeCell ref="P103:Q103"/>
    <mergeCell ref="AC103:AD103"/>
    <mergeCell ref="AP103:AQ103"/>
    <mergeCell ref="P107:Q107"/>
    <mergeCell ref="AC107:AD107"/>
    <mergeCell ref="AP107:AQ107"/>
    <mergeCell ref="B102:L102"/>
    <mergeCell ref="P102:Q102"/>
    <mergeCell ref="AC102:AD102"/>
    <mergeCell ref="AP102:AQ102"/>
    <mergeCell ref="P99:Q99"/>
    <mergeCell ref="AC99:AD99"/>
    <mergeCell ref="AP99:AQ99"/>
    <mergeCell ref="AC100:AD100"/>
    <mergeCell ref="AP100:AQ100"/>
    <mergeCell ref="P98:Q98"/>
    <mergeCell ref="AC98:AD98"/>
    <mergeCell ref="AP98:AQ98"/>
    <mergeCell ref="AC95:AD95"/>
    <mergeCell ref="AP95:AQ95"/>
    <mergeCell ref="P96:Q96"/>
    <mergeCell ref="AC96:AD96"/>
    <mergeCell ref="AP96:AQ96"/>
    <mergeCell ref="P101:Q101"/>
    <mergeCell ref="AC101:AD101"/>
    <mergeCell ref="AP101:AQ101"/>
    <mergeCell ref="P81:Q81"/>
    <mergeCell ref="AC81:AD81"/>
    <mergeCell ref="AP81:AQ81"/>
    <mergeCell ref="P82:Q82"/>
    <mergeCell ref="AC82:AD82"/>
    <mergeCell ref="AP82:AQ82"/>
    <mergeCell ref="P76:Q76"/>
    <mergeCell ref="AC76:AD76"/>
    <mergeCell ref="P97:Q97"/>
    <mergeCell ref="AC97:AD97"/>
    <mergeCell ref="AP97:AQ97"/>
    <mergeCell ref="AC91:AD91"/>
    <mergeCell ref="AP91:AQ91"/>
    <mergeCell ref="P92:Q92"/>
    <mergeCell ref="AC92:AD92"/>
    <mergeCell ref="AP92:AQ92"/>
    <mergeCell ref="P83:Q83"/>
    <mergeCell ref="AC83:AD83"/>
    <mergeCell ref="AP83:AQ83"/>
    <mergeCell ref="P84:Q84"/>
    <mergeCell ref="AC84:AD84"/>
    <mergeCell ref="AP84:AQ84"/>
    <mergeCell ref="P87:Q87"/>
    <mergeCell ref="P88:Q88"/>
    <mergeCell ref="P89:Q89"/>
    <mergeCell ref="P90:Q90"/>
    <mergeCell ref="AC75:AD75"/>
    <mergeCell ref="AP75:AQ75"/>
    <mergeCell ref="B66:L66"/>
    <mergeCell ref="P66:Q66"/>
    <mergeCell ref="AC66:AD66"/>
    <mergeCell ref="AP66:AQ66"/>
    <mergeCell ref="P67:Q67"/>
    <mergeCell ref="AC67:AD67"/>
    <mergeCell ref="AP67:AQ67"/>
    <mergeCell ref="AP71:AQ71"/>
    <mergeCell ref="AP72:AQ72"/>
    <mergeCell ref="AP73:AQ73"/>
    <mergeCell ref="AP74:AQ74"/>
    <mergeCell ref="P71:Q71"/>
    <mergeCell ref="P72:Q72"/>
    <mergeCell ref="P73:Q73"/>
    <mergeCell ref="P74:Q74"/>
    <mergeCell ref="AC70:AD70"/>
    <mergeCell ref="AC71:AD71"/>
    <mergeCell ref="AC72:AD72"/>
    <mergeCell ref="AC73:AD73"/>
    <mergeCell ref="AC74:AD74"/>
    <mergeCell ref="AS9:AU9"/>
    <mergeCell ref="P40:Q40"/>
    <mergeCell ref="AC40:AD40"/>
    <mergeCell ref="AP40:AQ41"/>
    <mergeCell ref="P16:Q16"/>
    <mergeCell ref="AC16:AD16"/>
    <mergeCell ref="AP16:AQ17"/>
    <mergeCell ref="P25:Q25"/>
    <mergeCell ref="AC25:AD25"/>
    <mergeCell ref="AP25:AQ26"/>
    <mergeCell ref="P37:Q37"/>
    <mergeCell ref="AC37:AD37"/>
    <mergeCell ref="AP37:AQ38"/>
    <mergeCell ref="P28:Q28"/>
    <mergeCell ref="P31:Q31"/>
    <mergeCell ref="P34:Q34"/>
    <mergeCell ref="AC28:AD28"/>
    <mergeCell ref="AC31:AD31"/>
    <mergeCell ref="AC34:AD34"/>
    <mergeCell ref="AP28:AQ29"/>
    <mergeCell ref="AP31:AQ32"/>
    <mergeCell ref="AW9:BG9"/>
    <mergeCell ref="P11:Q11"/>
    <mergeCell ref="AC11:AD11"/>
    <mergeCell ref="AP11:AQ11"/>
    <mergeCell ref="AW11:BA11"/>
    <mergeCell ref="BC11:BG11"/>
    <mergeCell ref="AC55:AD55"/>
    <mergeCell ref="AP55:AQ56"/>
    <mergeCell ref="P22:Q22"/>
    <mergeCell ref="AC22:AD22"/>
    <mergeCell ref="AP22:AQ23"/>
    <mergeCell ref="P49:Q49"/>
    <mergeCell ref="AC49:AD49"/>
    <mergeCell ref="AP49:AQ50"/>
    <mergeCell ref="P52:Q52"/>
    <mergeCell ref="AC52:AD52"/>
    <mergeCell ref="AP52:AQ53"/>
    <mergeCell ref="P43:Q43"/>
    <mergeCell ref="P42:Q42"/>
    <mergeCell ref="AC42:AD42"/>
    <mergeCell ref="AP42:AQ42"/>
    <mergeCell ref="AC43:AD43"/>
    <mergeCell ref="AP43:AQ43"/>
    <mergeCell ref="AP46:AQ47"/>
    <mergeCell ref="AP76:AQ76"/>
    <mergeCell ref="AC80:AD80"/>
    <mergeCell ref="AP80:AQ80"/>
    <mergeCell ref="B42:L42"/>
    <mergeCell ref="P46:Q46"/>
    <mergeCell ref="P70:Q70"/>
    <mergeCell ref="AP70:AQ70"/>
    <mergeCell ref="AP34:AQ35"/>
    <mergeCell ref="P257:Q257"/>
    <mergeCell ref="AC257:AD257"/>
    <mergeCell ref="AP257:AQ257"/>
    <mergeCell ref="P61:Q61"/>
    <mergeCell ref="AC61:AD61"/>
    <mergeCell ref="AP61:AQ62"/>
    <mergeCell ref="P64:Q64"/>
    <mergeCell ref="AC64:AD64"/>
    <mergeCell ref="AP64:AQ65"/>
    <mergeCell ref="P55:Q55"/>
    <mergeCell ref="P58:Q58"/>
    <mergeCell ref="AC58:AD58"/>
    <mergeCell ref="AP58:AQ59"/>
    <mergeCell ref="AC46:AD46"/>
    <mergeCell ref="B75:L75"/>
    <mergeCell ref="P75:Q75"/>
    <mergeCell ref="D2:AR2"/>
    <mergeCell ref="D4:AR4"/>
    <mergeCell ref="D5:AR5"/>
    <mergeCell ref="H8:Q8"/>
    <mergeCell ref="U8:AD8"/>
    <mergeCell ref="AH8:AQ8"/>
    <mergeCell ref="P19:Q19"/>
    <mergeCell ref="AC19:AD19"/>
    <mergeCell ref="AP19:AQ20"/>
    <mergeCell ref="P13:Q13"/>
    <mergeCell ref="AC13:AD13"/>
    <mergeCell ref="AP13:AQ14"/>
    <mergeCell ref="H9:Q9"/>
    <mergeCell ref="U9:AD9"/>
    <mergeCell ref="AH9:AQ9"/>
  </mergeCells>
  <conditionalFormatting sqref="J13:K13">
    <cfRule type="expression" dxfId="137" priority="345" stopIfTrue="1">
      <formula>CT13=2</formula>
    </cfRule>
  </conditionalFormatting>
  <conditionalFormatting sqref="J16:K16">
    <cfRule type="expression" dxfId="136" priority="323" stopIfTrue="1">
      <formula>CT16=2</formula>
    </cfRule>
  </conditionalFormatting>
  <conditionalFormatting sqref="J19:K19">
    <cfRule type="expression" dxfId="135" priority="301" stopIfTrue="1">
      <formula>CT19=2</formula>
    </cfRule>
  </conditionalFormatting>
  <conditionalFormatting sqref="J22:K22">
    <cfRule type="expression" dxfId="134" priority="279" stopIfTrue="1">
      <formula>CT22=2</formula>
    </cfRule>
  </conditionalFormatting>
  <conditionalFormatting sqref="J25:K25">
    <cfRule type="expression" dxfId="133" priority="257" stopIfTrue="1">
      <formula>CT25=2</formula>
    </cfRule>
  </conditionalFormatting>
  <conditionalFormatting sqref="J28:K28">
    <cfRule type="expression" dxfId="132" priority="173" stopIfTrue="1">
      <formula>CT28=2</formula>
    </cfRule>
  </conditionalFormatting>
  <conditionalFormatting sqref="J31:K31">
    <cfRule type="expression" dxfId="131" priority="133" stopIfTrue="1">
      <formula>CT31=2</formula>
    </cfRule>
  </conditionalFormatting>
  <conditionalFormatting sqref="J34:K34">
    <cfRule type="expression" dxfId="130" priority="93" stopIfTrue="1">
      <formula>CT34=2</formula>
    </cfRule>
  </conditionalFormatting>
  <conditionalFormatting sqref="J37:K37">
    <cfRule type="expression" dxfId="129" priority="235" stopIfTrue="1">
      <formula>CT37=2</formula>
    </cfRule>
  </conditionalFormatting>
  <conditionalFormatting sqref="J40:K40">
    <cfRule type="expression" dxfId="128" priority="213" stopIfTrue="1">
      <formula>CT40=2</formula>
    </cfRule>
  </conditionalFormatting>
  <conditionalFormatting sqref="J46:K46">
    <cfRule type="expression" dxfId="127" priority="389" stopIfTrue="1">
      <formula>CT46=2</formula>
    </cfRule>
  </conditionalFormatting>
  <conditionalFormatting sqref="J49:K49">
    <cfRule type="expression" dxfId="126" priority="367" stopIfTrue="1">
      <formula>CT49=2</formula>
    </cfRule>
  </conditionalFormatting>
  <conditionalFormatting sqref="J52:K52">
    <cfRule type="expression" dxfId="125" priority="701" stopIfTrue="1">
      <formula>CT52=2</formula>
    </cfRule>
  </conditionalFormatting>
  <conditionalFormatting sqref="J55:K55">
    <cfRule type="expression" dxfId="124" priority="592" stopIfTrue="1">
      <formula>CT55=2</formula>
    </cfRule>
  </conditionalFormatting>
  <conditionalFormatting sqref="J58:K58">
    <cfRule type="expression" dxfId="123" priority="611" stopIfTrue="1">
      <formula>CT58=2</formula>
    </cfRule>
  </conditionalFormatting>
  <conditionalFormatting sqref="J61:K61">
    <cfRule type="expression" dxfId="122" priority="630" stopIfTrue="1">
      <formula>CT61=2</formula>
    </cfRule>
  </conditionalFormatting>
  <conditionalFormatting sqref="J64:K64">
    <cfRule type="expression" dxfId="121" priority="649" stopIfTrue="1">
      <formula>CT64=2</formula>
    </cfRule>
  </conditionalFormatting>
  <conditionalFormatting sqref="L13">
    <cfRule type="expression" dxfId="120" priority="337" stopIfTrue="1">
      <formula>CY13=2</formula>
    </cfRule>
  </conditionalFormatting>
  <conditionalFormatting sqref="L16 L19 L22 L25 L28 L31 L34 L37 L40">
    <cfRule type="expression" dxfId="119" priority="66" stopIfTrue="1">
      <formula>CY16=2</formula>
    </cfRule>
  </conditionalFormatting>
  <conditionalFormatting sqref="L46">
    <cfRule type="expression" dxfId="118" priority="381" stopIfTrue="1">
      <formula>CY46=2</formula>
    </cfRule>
  </conditionalFormatting>
  <conditionalFormatting sqref="L49 L52 L55 L58 L61 L64">
    <cfRule type="expression" dxfId="117" priority="28" stopIfTrue="1">
      <formula>CY49=2</formula>
    </cfRule>
  </conditionalFormatting>
  <conditionalFormatting sqref="L39:N39 Y39:AA39 AL39:AN39 L63:N63 Y63:AA63 AL63:AN63">
    <cfRule type="cellIs" dxfId="116" priority="1799" stopIfTrue="1" operator="greaterThan">
      <formula>9</formula>
    </cfRule>
  </conditionalFormatting>
  <conditionalFormatting sqref="N13">
    <cfRule type="expression" dxfId="115" priority="1115" stopIfTrue="1">
      <formula>CX13=2</formula>
    </cfRule>
  </conditionalFormatting>
  <conditionalFormatting sqref="N16">
    <cfRule type="expression" dxfId="114" priority="1096" stopIfTrue="1">
      <formula>CX16=2</formula>
    </cfRule>
  </conditionalFormatting>
  <conditionalFormatting sqref="N19">
    <cfRule type="expression" dxfId="113" priority="1077" stopIfTrue="1">
      <formula>CX19=2</formula>
    </cfRule>
  </conditionalFormatting>
  <conditionalFormatting sqref="N22">
    <cfRule type="expression" dxfId="112" priority="1058" stopIfTrue="1">
      <formula>CX22=2</formula>
    </cfRule>
  </conditionalFormatting>
  <conditionalFormatting sqref="N25">
    <cfRule type="expression" dxfId="111" priority="1160" stopIfTrue="1">
      <formula>CX25=2</formula>
    </cfRule>
  </conditionalFormatting>
  <conditionalFormatting sqref="N28">
    <cfRule type="expression" dxfId="110" priority="186" stopIfTrue="1">
      <formula>CX28=2</formula>
    </cfRule>
  </conditionalFormatting>
  <conditionalFormatting sqref="N31">
    <cfRule type="expression" dxfId="109" priority="146" stopIfTrue="1">
      <formula>CX31=2</formula>
    </cfRule>
  </conditionalFormatting>
  <conditionalFormatting sqref="N34">
    <cfRule type="expression" dxfId="108" priority="106" stopIfTrue="1">
      <formula>CX34=2</formula>
    </cfRule>
  </conditionalFormatting>
  <conditionalFormatting sqref="N37">
    <cfRule type="expression" dxfId="107" priority="1039" stopIfTrue="1">
      <formula>CX37=2</formula>
    </cfRule>
  </conditionalFormatting>
  <conditionalFormatting sqref="N40">
    <cfRule type="expression" dxfId="106" priority="1134" stopIfTrue="1">
      <formula>CX40=2</formula>
    </cfRule>
  </conditionalFormatting>
  <conditionalFormatting sqref="N46">
    <cfRule type="expression" dxfId="105" priority="723" stopIfTrue="1">
      <formula>CX46=2</formula>
    </cfRule>
  </conditionalFormatting>
  <conditionalFormatting sqref="N49">
    <cfRule type="expression" dxfId="104" priority="710" stopIfTrue="1">
      <formula>CX49=2</formula>
    </cfRule>
  </conditionalFormatting>
  <conditionalFormatting sqref="N52">
    <cfRule type="expression" dxfId="103" priority="697" stopIfTrue="1">
      <formula>CX52=2</formula>
    </cfRule>
  </conditionalFormatting>
  <conditionalFormatting sqref="N55">
    <cfRule type="expression" dxfId="102" priority="588" stopIfTrue="1">
      <formula>CX55=2</formula>
    </cfRule>
  </conditionalFormatting>
  <conditionalFormatting sqref="N58">
    <cfRule type="expression" dxfId="101" priority="607" stopIfTrue="1">
      <formula>CX58=2</formula>
    </cfRule>
  </conditionalFormatting>
  <conditionalFormatting sqref="N61">
    <cfRule type="expression" dxfId="100" priority="626" stopIfTrue="1">
      <formula>CX61=2</formula>
    </cfRule>
  </conditionalFormatting>
  <conditionalFormatting sqref="N64">
    <cfRule type="expression" dxfId="99" priority="645" stopIfTrue="1">
      <formula>CX64=2</formula>
    </cfRule>
  </conditionalFormatting>
  <conditionalFormatting sqref="W13">
    <cfRule type="expression" dxfId="98" priority="1793" stopIfTrue="1">
      <formula>DE13=2</formula>
    </cfRule>
  </conditionalFormatting>
  <conditionalFormatting sqref="W46">
    <cfRule type="expression" dxfId="97" priority="570" stopIfTrue="1">
      <formula>DE46=2</formula>
    </cfRule>
  </conditionalFormatting>
  <conditionalFormatting sqref="W13:X13">
    <cfRule type="expression" dxfId="96" priority="918" stopIfTrue="1">
      <formula>DG13=2</formula>
    </cfRule>
  </conditionalFormatting>
  <conditionalFormatting sqref="W16:X16">
    <cfRule type="expression" dxfId="95" priority="899" stopIfTrue="1">
      <formula>DG16=2</formula>
    </cfRule>
    <cfRule type="expression" dxfId="94" priority="1610" stopIfTrue="1">
      <formula>DE16=2</formula>
    </cfRule>
  </conditionalFormatting>
  <conditionalFormatting sqref="W19:X19">
    <cfRule type="expression" dxfId="93" priority="880" stopIfTrue="1">
      <formula>DG19=2</formula>
    </cfRule>
    <cfRule type="expression" dxfId="92" priority="1597" stopIfTrue="1">
      <formula>DE19=2</formula>
    </cfRule>
  </conditionalFormatting>
  <conditionalFormatting sqref="W22:X22">
    <cfRule type="expression" dxfId="91" priority="861" stopIfTrue="1">
      <formula>DG22=2</formula>
    </cfRule>
    <cfRule type="expression" dxfId="90" priority="1584" stopIfTrue="1">
      <formula>DE22=2</formula>
    </cfRule>
  </conditionalFormatting>
  <conditionalFormatting sqref="W25:X25">
    <cfRule type="expression" dxfId="89" priority="1571" stopIfTrue="1">
      <formula>DE25=2</formula>
    </cfRule>
    <cfRule type="expression" dxfId="88" priority="963" stopIfTrue="1">
      <formula>DG25=2</formula>
    </cfRule>
  </conditionalFormatting>
  <conditionalFormatting sqref="W37:X37">
    <cfRule type="expression" dxfId="87" priority="842" stopIfTrue="1">
      <formula>DG37=2</formula>
    </cfRule>
    <cfRule type="expression" dxfId="86" priority="1558" stopIfTrue="1">
      <formula>DE37=2</formula>
    </cfRule>
  </conditionalFormatting>
  <conditionalFormatting sqref="W40:X40">
    <cfRule type="expression" dxfId="85" priority="937" stopIfTrue="1">
      <formula>DG40=2</formula>
    </cfRule>
    <cfRule type="expression" dxfId="84" priority="1545" stopIfTrue="1">
      <formula>DE40=2</formula>
    </cfRule>
  </conditionalFormatting>
  <conditionalFormatting sqref="W49:X49">
    <cfRule type="expression" dxfId="83" priority="564" stopIfTrue="1">
      <formula>DE49=2</formula>
    </cfRule>
  </conditionalFormatting>
  <conditionalFormatting sqref="W52:X52">
    <cfRule type="expression" dxfId="82" priority="528" stopIfTrue="1">
      <formula>DG52=2</formula>
    </cfRule>
    <cfRule type="expression" dxfId="81" priority="558" stopIfTrue="1">
      <formula>DE52=2</formula>
    </cfRule>
  </conditionalFormatting>
  <conditionalFormatting sqref="W55:X55">
    <cfRule type="expression" dxfId="80" priority="522" stopIfTrue="1">
      <formula>DG55=2</formula>
    </cfRule>
    <cfRule type="expression" dxfId="79" priority="552" stopIfTrue="1">
      <formula>DE55=2</formula>
    </cfRule>
    <cfRule type="expression" dxfId="78" priority="470" stopIfTrue="1">
      <formula>DG55=2</formula>
    </cfRule>
    <cfRule type="expression" dxfId="77" priority="476" stopIfTrue="1">
      <formula>DE55=2</formula>
    </cfRule>
  </conditionalFormatting>
  <conditionalFormatting sqref="W58:X58">
    <cfRule type="expression" dxfId="76" priority="546" stopIfTrue="1">
      <formula>DE58=2</formula>
    </cfRule>
    <cfRule type="expression" dxfId="75" priority="451" stopIfTrue="1">
      <formula>DG58=2</formula>
    </cfRule>
    <cfRule type="expression" dxfId="74" priority="516" stopIfTrue="1">
      <formula>DG58=2</formula>
    </cfRule>
    <cfRule type="expression" dxfId="73" priority="457" stopIfTrue="1">
      <formula>DE58=2</formula>
    </cfRule>
  </conditionalFormatting>
  <conditionalFormatting sqref="W61:X61">
    <cfRule type="expression" dxfId="72" priority="510" stopIfTrue="1">
      <formula>DG61=2</formula>
    </cfRule>
    <cfRule type="expression" dxfId="71" priority="540" stopIfTrue="1">
      <formula>DE61=2</formula>
    </cfRule>
    <cfRule type="expression" dxfId="70" priority="438" stopIfTrue="1">
      <formula>DE61=2</formula>
    </cfRule>
    <cfRule type="expression" dxfId="69" priority="432" stopIfTrue="1">
      <formula>DG61=2</formula>
    </cfRule>
  </conditionalFormatting>
  <conditionalFormatting sqref="W64:X64">
    <cfRule type="expression" dxfId="68" priority="413" stopIfTrue="1">
      <formula>DG64=2</formula>
    </cfRule>
    <cfRule type="expression" dxfId="67" priority="419" stopIfTrue="1">
      <formula>DE64=2</formula>
    </cfRule>
  </conditionalFormatting>
  <conditionalFormatting sqref="Y13 Y16 Y19 Y22 Y25 Y28 Y31 Y34 Y37 Y40">
    <cfRule type="expression" dxfId="66" priority="47" stopIfTrue="1">
      <formula>DL13=2</formula>
    </cfRule>
  </conditionalFormatting>
  <conditionalFormatting sqref="Y13">
    <cfRule type="expression" dxfId="65" priority="1787" stopIfTrue="1">
      <formula>DJ13=2</formula>
    </cfRule>
  </conditionalFormatting>
  <conditionalFormatting sqref="Y16">
    <cfRule type="expression" dxfId="64" priority="1604" stopIfTrue="1">
      <formula>DJ16=2</formula>
    </cfRule>
  </conditionalFormatting>
  <conditionalFormatting sqref="Y19">
    <cfRule type="expression" dxfId="63" priority="1591" stopIfTrue="1">
      <formula>DJ19=2</formula>
    </cfRule>
  </conditionalFormatting>
  <conditionalFormatting sqref="Y22">
    <cfRule type="expression" dxfId="62" priority="1578" stopIfTrue="1">
      <formula>DJ22=2</formula>
    </cfRule>
  </conditionalFormatting>
  <conditionalFormatting sqref="Y25">
    <cfRule type="expression" dxfId="61" priority="1565" stopIfTrue="1">
      <formula>DJ25=2</formula>
    </cfRule>
  </conditionalFormatting>
  <conditionalFormatting sqref="Y37">
    <cfRule type="expression" dxfId="60" priority="1552" stopIfTrue="1">
      <formula>DJ37=2</formula>
    </cfRule>
  </conditionalFormatting>
  <conditionalFormatting sqref="Y40">
    <cfRule type="expression" dxfId="59" priority="1539" stopIfTrue="1">
      <formula>DJ40=2</formula>
    </cfRule>
  </conditionalFormatting>
  <conditionalFormatting sqref="Y46">
    <cfRule type="expression" dxfId="58" priority="567" stopIfTrue="1">
      <formula>DJ46=2</formula>
    </cfRule>
  </conditionalFormatting>
  <conditionalFormatting sqref="Y49 Y52 Y55 Y58 Y61 Y64">
    <cfRule type="expression" dxfId="57" priority="13" stopIfTrue="1">
      <formula>DJ49=2</formula>
    </cfRule>
  </conditionalFormatting>
  <conditionalFormatting sqref="Y52">
    <cfRule type="expression" dxfId="56" priority="479" stopIfTrue="1">
      <formula>DL52=2</formula>
    </cfRule>
    <cfRule type="expression" dxfId="55" priority="557" stopIfTrue="1">
      <formula>DJ52=2</formula>
    </cfRule>
  </conditionalFormatting>
  <conditionalFormatting sqref="Y55">
    <cfRule type="expression" dxfId="54" priority="483" stopIfTrue="1">
      <formula>DL55=2</formula>
    </cfRule>
    <cfRule type="expression" dxfId="53" priority="475" stopIfTrue="1">
      <formula>DJ55=2</formula>
    </cfRule>
    <cfRule type="expression" dxfId="52" priority="460" stopIfTrue="1">
      <formula>DL55=2</formula>
    </cfRule>
    <cfRule type="expression" dxfId="51" priority="551" stopIfTrue="1">
      <formula>DJ55=2</formula>
    </cfRule>
  </conditionalFormatting>
  <conditionalFormatting sqref="Y58">
    <cfRule type="expression" dxfId="50" priority="487" stopIfTrue="1">
      <formula>DL58=2</formula>
    </cfRule>
    <cfRule type="expression" dxfId="49" priority="441" stopIfTrue="1">
      <formula>DL58=2</formula>
    </cfRule>
    <cfRule type="expression" dxfId="48" priority="545" stopIfTrue="1">
      <formula>DJ58=2</formula>
    </cfRule>
    <cfRule type="expression" dxfId="47" priority="456" stopIfTrue="1">
      <formula>DJ58=2</formula>
    </cfRule>
  </conditionalFormatting>
  <conditionalFormatting sqref="Y61">
    <cfRule type="expression" dxfId="46" priority="491" stopIfTrue="1">
      <formula>DL61=2</formula>
    </cfRule>
    <cfRule type="expression" dxfId="45" priority="422" stopIfTrue="1">
      <formula>DL61=2</formula>
    </cfRule>
    <cfRule type="expression" dxfId="44" priority="437" stopIfTrue="1">
      <formula>DJ61=2</formula>
    </cfRule>
    <cfRule type="expression" dxfId="43" priority="539" stopIfTrue="1">
      <formula>DJ61=2</formula>
    </cfRule>
  </conditionalFormatting>
  <conditionalFormatting sqref="Y64">
    <cfRule type="expression" dxfId="42" priority="418" stopIfTrue="1">
      <formula>DJ64=2</formula>
    </cfRule>
    <cfRule type="expression" dxfId="41" priority="403" stopIfTrue="1">
      <formula>DL64=2</formula>
    </cfRule>
  </conditionalFormatting>
  <conditionalFormatting sqref="AA13">
    <cfRule type="expression" dxfId="40" priority="1788" stopIfTrue="1">
      <formula>DI13=2</formula>
    </cfRule>
    <cfRule type="expression" dxfId="39" priority="914" stopIfTrue="1">
      <formula>DK13=2</formula>
    </cfRule>
  </conditionalFormatting>
  <conditionalFormatting sqref="AA16 AA19 AA22 AA25 AA28 AA31 AA34 AA37 AA40">
    <cfRule type="expression" dxfId="38" priority="1" stopIfTrue="1">
      <formula>DK16=2</formula>
    </cfRule>
    <cfRule type="expression" dxfId="37" priority="10" stopIfTrue="1">
      <formula>DI16=2</formula>
    </cfRule>
  </conditionalFormatting>
  <conditionalFormatting sqref="AA16">
    <cfRule type="expression" dxfId="36" priority="895" stopIfTrue="1">
      <formula>DK16=2</formula>
    </cfRule>
    <cfRule type="expression" dxfId="35" priority="1605" stopIfTrue="1">
      <formula>DI16=2</formula>
    </cfRule>
  </conditionalFormatting>
  <conditionalFormatting sqref="AA19">
    <cfRule type="expression" dxfId="34" priority="876" stopIfTrue="1">
      <formula>DK19=2</formula>
    </cfRule>
    <cfRule type="expression" dxfId="33" priority="1592" stopIfTrue="1">
      <formula>DI19=2</formula>
    </cfRule>
  </conditionalFormatting>
  <conditionalFormatting sqref="AA22">
    <cfRule type="expression" dxfId="32" priority="857" stopIfTrue="1">
      <formula>DK22=2</formula>
    </cfRule>
    <cfRule type="expression" dxfId="31" priority="1579" stopIfTrue="1">
      <formula>DI22=2</formula>
    </cfRule>
  </conditionalFormatting>
  <conditionalFormatting sqref="AA25">
    <cfRule type="expression" dxfId="30" priority="959" stopIfTrue="1">
      <formula>DK25=2</formula>
    </cfRule>
    <cfRule type="expression" dxfId="29" priority="1566" stopIfTrue="1">
      <formula>DI25=2</formula>
    </cfRule>
  </conditionalFormatting>
  <conditionalFormatting sqref="AA37">
    <cfRule type="expression" dxfId="28" priority="838" stopIfTrue="1">
      <formula>DK37=2</formula>
    </cfRule>
    <cfRule type="expression" dxfId="27" priority="1553" stopIfTrue="1">
      <formula>DI37=2</formula>
    </cfRule>
  </conditionalFormatting>
  <conditionalFormatting sqref="AA40">
    <cfRule type="expression" dxfId="26" priority="933" stopIfTrue="1">
      <formula>DK40=2</formula>
    </cfRule>
    <cfRule type="expression" dxfId="25" priority="1540" stopIfTrue="1">
      <formula>DI40=2</formula>
    </cfRule>
  </conditionalFormatting>
  <conditionalFormatting sqref="AA46">
    <cfRule type="expression" dxfId="24" priority="568" stopIfTrue="1">
      <formula>DI46=2</formula>
    </cfRule>
  </conditionalFormatting>
  <conditionalFormatting sqref="AA49">
    <cfRule type="expression" dxfId="23" priority="560" stopIfTrue="1">
      <formula>DI49=2</formula>
    </cfRule>
  </conditionalFormatting>
  <conditionalFormatting sqref="AA52">
    <cfRule type="expression" dxfId="22" priority="554" stopIfTrue="1">
      <formula>DI52=2</formula>
    </cfRule>
    <cfRule type="expression" dxfId="21" priority="524" stopIfTrue="1">
      <formula>DK52=2</formula>
    </cfRule>
  </conditionalFormatting>
  <conditionalFormatting sqref="AA55">
    <cfRule type="expression" dxfId="20" priority="466" stopIfTrue="1">
      <formula>DK55=2</formula>
    </cfRule>
    <cfRule type="expression" dxfId="19" priority="472" stopIfTrue="1">
      <formula>DI55=2</formula>
    </cfRule>
    <cfRule type="expression" dxfId="18" priority="518" stopIfTrue="1">
      <formula>DK55=2</formula>
    </cfRule>
    <cfRule type="expression" dxfId="17" priority="548" stopIfTrue="1">
      <formula>DI55=2</formula>
    </cfRule>
  </conditionalFormatting>
  <conditionalFormatting sqref="AA58">
    <cfRule type="expression" dxfId="16" priority="447" stopIfTrue="1">
      <formula>DK58=2</formula>
    </cfRule>
    <cfRule type="expression" dxfId="15" priority="453" stopIfTrue="1">
      <formula>DI58=2</formula>
    </cfRule>
    <cfRule type="expression" dxfId="14" priority="512" stopIfTrue="1">
      <formula>DK58=2</formula>
    </cfRule>
    <cfRule type="expression" dxfId="13" priority="542" stopIfTrue="1">
      <formula>DI58=2</formula>
    </cfRule>
  </conditionalFormatting>
  <conditionalFormatting sqref="AA61">
    <cfRule type="expression" dxfId="12" priority="428" stopIfTrue="1">
      <formula>DK61=2</formula>
    </cfRule>
    <cfRule type="expression" dxfId="11" priority="434" stopIfTrue="1">
      <formula>DI61=2</formula>
    </cfRule>
    <cfRule type="expression" dxfId="10" priority="506" stopIfTrue="1">
      <formula>DK61=2</formula>
    </cfRule>
    <cfRule type="expression" dxfId="9" priority="536" stopIfTrue="1">
      <formula>DI61=2</formula>
    </cfRule>
  </conditionalFormatting>
  <conditionalFormatting sqref="AA64">
    <cfRule type="expression" dxfId="8" priority="409" stopIfTrue="1">
      <formula>DK64=2</formula>
    </cfRule>
    <cfRule type="expression" dxfId="7" priority="415" stopIfTrue="1">
      <formula>DI64=2</formula>
    </cfRule>
  </conditionalFormatting>
  <dataValidations count="6">
    <dataValidation type="decimal" operator="lessThanOrEqual" allowBlank="1" showInputMessage="1" showErrorMessage="1" errorTitle="ERROR!" error="There are only 9 months (4.5 per semester) in an Academic Year. Please enter a number less than or equal to 9 in this box. If you need to use a full year (12 months) then please enter 9 in this box and 3 in Summer &quot;# Months&quot;" promptTitle="Academic Months" prompt="Please enter the number of academic calendar months (max of 9) in this box." sqref="U46 U49 U52 U55 U58 U61 U64" xr:uid="{00000000-0002-0000-0B00-000000000000}">
      <formula1>9</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J25 N22 N58 AA34 W37 AA19 J58 N61 W22 AA22 W25 AA16 J19 W19 J61 N55 J55 N64 J64 N52 AA13 J52 N49 J46 W16 N46 N25 J22 W58 N34 N19 J16 W13 N16 J13 AA37 N13 J49 N40 W40 J37 AA64 W64 W46 AA46 W49 AA49 AA52 W52 AA55 W55 AA61 W61 AA58 J40 J28 N28 J31 N31 J34 AA25 AA28 AA31 AA40" xr:uid="{00000000-0002-0000-0B00-000001000000}"/>
    <dataValidation type="decimal" operator="lessThanOrEqual" allowBlank="1" showInputMessage="1" showErrorMessage="1" errorTitle="ERROR!" error="There are only 3 months in the summer portion of a Year. Please enter a number less than or equal to 3 in this box. If you need to use a full year (12 months) then please enter 3 in this box and 9 in Acad &quot;# Months&quot;" promptTitle="Summer Months" prompt="Please enter the number of summer calendar months (max of 3) in this box." sqref="Y46 Y49 Y52 Y55 Y58 Y61 Y64" xr:uid="{00000000-0002-0000-0B00-000002000000}">
      <formula1>3</formula1>
    </dataValidation>
    <dataValidation type="list" allowBlank="1" showInputMessage="1" showErrorMessage="1" sqref="D16 D34 D19 D37 D46 D22 D31 D49 D52 D55 D58 D61 D64 D25 D28 D40 D13" xr:uid="{00000000-0002-0000-0B00-000003000000}">
      <formula1>Faculty</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L46 Y40 L13 L31 L16 L19 L22 L34 L37 L25 L28 L40 Y13 Y16 Y19 Y22 Y25 Y28 Y31 Y34 Y37 L49 L52 L55 L58 L61 L64" xr:uid="{00000000-0002-0000-0B00-000004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46 U40 H13 H31 H16 H19 H22 H34 H37 H25 H28 H40 U13 U16 U19 U22 U25 U28 U31 U34 U37 H49 H52 H55 H58 H61 H64" xr:uid="{00000000-0002-0000-0B00-000005000000}">
      <formula1>9</formula1>
    </dataValidation>
  </dataValidations>
  <printOptions horizontalCentered="1"/>
  <pageMargins left="0.5" right="0.5" top="0.5" bottom="0.5" header="0.5" footer="0.23"/>
  <pageSetup scale="89" fitToHeight="2" orientation="portrait" horizontalDpi="300" verticalDpi="300" r:id="rId1"/>
  <headerFooter alignWithMargins="0">
    <oddFooter>&amp;L&amp;"Calibri,Regular"&amp;9&amp;F/&amp;A&amp;C&amp;"Calibri,Regular"&amp;9Page &amp;P of &amp;N&amp;R&amp;"Calibri,Regular"&amp;9&amp;D</oddFooter>
  </headerFooter>
  <rowBreaks count="1" manualBreakCount="1">
    <brk id="176" max="43" man="1"/>
  </rowBreaks>
  <ignoredErrors>
    <ignoredError sqref="B79:B94 B161:B222 B154:B15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87"/>
  <sheetViews>
    <sheetView topLeftCell="A16" workbookViewId="0">
      <selection activeCell="D4" sqref="D4:Y4"/>
    </sheetView>
  </sheetViews>
  <sheetFormatPr defaultColWidth="8" defaultRowHeight="13.8" x14ac:dyDescent="0.3"/>
  <cols>
    <col min="1" max="1" width="5.109375" style="237" customWidth="1"/>
    <col min="2" max="2" width="8" style="237" customWidth="1"/>
    <col min="3" max="3" width="5.109375" style="237" customWidth="1"/>
    <col min="4" max="4" width="27.109375" style="237" customWidth="1"/>
    <col min="5" max="5" width="9.21875" style="244" customWidth="1"/>
    <col min="6" max="6" width="0.88671875" style="244" customWidth="1"/>
    <col min="7" max="7" width="7.109375" style="244" customWidth="1"/>
    <col min="8" max="8" width="0.88671875" style="244" customWidth="1"/>
    <col min="9" max="9" width="7.109375" style="244" customWidth="1"/>
    <col min="10" max="10" width="0.88671875" style="244" customWidth="1"/>
    <col min="11" max="11" width="8.21875" style="244" customWidth="1"/>
    <col min="12" max="12" width="4.88671875" style="237" customWidth="1"/>
    <col min="13" max="13" width="8" style="237" customWidth="1"/>
    <col min="14" max="14" width="3.109375" style="237" customWidth="1"/>
    <col min="15" max="16384" width="8" style="237"/>
  </cols>
  <sheetData>
    <row r="1" spans="2:19" ht="33" customHeight="1" x14ac:dyDescent="0.4">
      <c r="C1" s="710" t="s">
        <v>659</v>
      </c>
      <c r="D1" s="710"/>
      <c r="E1" s="710"/>
      <c r="F1" s="710"/>
      <c r="G1" s="710"/>
      <c r="H1" s="710"/>
      <c r="I1" s="710"/>
      <c r="J1" s="710"/>
      <c r="K1" s="710"/>
      <c r="L1" s="710"/>
    </row>
    <row r="2" spans="2:19" ht="24" customHeight="1" x14ac:dyDescent="0.4">
      <c r="C2" s="713" t="s">
        <v>660</v>
      </c>
      <c r="D2" s="713"/>
      <c r="E2" s="713"/>
      <c r="F2" s="713"/>
      <c r="G2" s="713"/>
      <c r="H2" s="713"/>
      <c r="I2" s="713"/>
      <c r="J2" s="713"/>
      <c r="K2" s="713"/>
      <c r="L2" s="713"/>
    </row>
    <row r="3" spans="2:19" ht="25.5" customHeight="1" x14ac:dyDescent="0.3">
      <c r="C3" s="711" t="s">
        <v>661</v>
      </c>
      <c r="D3" s="711"/>
      <c r="E3" s="711"/>
      <c r="F3" s="711"/>
      <c r="G3" s="711"/>
      <c r="H3" s="711"/>
      <c r="I3" s="711"/>
      <c r="J3" s="711"/>
      <c r="K3" s="711"/>
    </row>
    <row r="4" spans="2:19" ht="9.75" customHeight="1" x14ac:dyDescent="0.3">
      <c r="C4" s="599"/>
      <c r="D4" s="599"/>
      <c r="E4" s="599"/>
      <c r="F4" s="599"/>
      <c r="G4" s="599"/>
      <c r="H4" s="599"/>
      <c r="I4" s="599"/>
      <c r="J4" s="599"/>
      <c r="K4" s="599"/>
    </row>
    <row r="5" spans="2:19" ht="47.25" customHeight="1" x14ac:dyDescent="0.3">
      <c r="B5" s="712">
        <f>'YEAR 5'!D4</f>
        <v>0</v>
      </c>
      <c r="C5" s="712"/>
      <c r="D5" s="712"/>
      <c r="E5" s="712"/>
      <c r="F5" s="712"/>
      <c r="G5" s="712"/>
      <c r="H5" s="712"/>
      <c r="I5" s="712"/>
      <c r="J5" s="712"/>
      <c r="K5" s="712"/>
      <c r="L5" s="238"/>
      <c r="M5" s="238"/>
      <c r="N5" s="239" t="s">
        <v>179</v>
      </c>
      <c r="O5" s="238"/>
      <c r="P5" s="238"/>
      <c r="Q5" s="238"/>
      <c r="R5" s="238"/>
      <c r="S5" s="238"/>
    </row>
    <row r="6" spans="2:19" ht="15.6" x14ac:dyDescent="0.3">
      <c r="B6" s="714" t="str">
        <f>'YEAR 5'!D5</f>
        <v>Year Five:  December 31, 1903 - December 30, 1904</v>
      </c>
      <c r="C6" s="714"/>
      <c r="D6" s="714"/>
      <c r="E6" s="714"/>
      <c r="F6" s="714"/>
      <c r="G6" s="714"/>
      <c r="H6" s="714"/>
      <c r="I6" s="714"/>
      <c r="J6" s="714"/>
      <c r="K6" s="714"/>
    </row>
    <row r="7" spans="2:19" ht="18" x14ac:dyDescent="0.35">
      <c r="B7" s="708"/>
      <c r="C7" s="708"/>
      <c r="D7" s="708"/>
      <c r="E7" s="708"/>
      <c r="F7" s="708"/>
      <c r="G7" s="708"/>
      <c r="H7" s="708"/>
      <c r="I7" s="708"/>
      <c r="J7" s="708"/>
      <c r="K7" s="708"/>
    </row>
    <row r="8" spans="2:19" ht="2.25" customHeight="1" x14ac:dyDescent="0.3">
      <c r="B8" s="709"/>
      <c r="C8" s="709"/>
      <c r="D8" s="709"/>
      <c r="E8" s="709"/>
      <c r="F8" s="709"/>
      <c r="G8" s="709"/>
      <c r="H8" s="709"/>
      <c r="I8" s="709"/>
      <c r="J8" s="709"/>
      <c r="K8" s="709"/>
    </row>
    <row r="9" spans="2:19" s="240" customFormat="1" ht="15.6" x14ac:dyDescent="0.2">
      <c r="B9" s="598"/>
      <c r="C9" s="598"/>
      <c r="D9" s="598"/>
      <c r="E9" s="707"/>
      <c r="F9" s="707"/>
      <c r="G9" s="707"/>
      <c r="H9" s="707"/>
      <c r="I9" s="707"/>
      <c r="J9" s="707"/>
      <c r="K9" s="707"/>
    </row>
    <row r="10" spans="2:19" ht="41.4" x14ac:dyDescent="0.3">
      <c r="B10" s="241" t="s">
        <v>662</v>
      </c>
      <c r="C10" s="241"/>
      <c r="D10" s="241"/>
      <c r="E10" s="242" t="s">
        <v>663</v>
      </c>
      <c r="F10" s="242"/>
      <c r="G10" s="242" t="s">
        <v>664</v>
      </c>
      <c r="H10" s="242"/>
      <c r="I10" s="242" t="s">
        <v>665</v>
      </c>
      <c r="J10" s="242"/>
      <c r="K10" s="243" t="s">
        <v>666</v>
      </c>
    </row>
    <row r="11" spans="2:19" ht="15" customHeight="1" thickBot="1" x14ac:dyDescent="0.35">
      <c r="B11" s="244"/>
      <c r="C11" s="244"/>
      <c r="D11" s="244"/>
      <c r="K11" s="245"/>
    </row>
    <row r="12" spans="2:19" ht="15" customHeight="1" thickBot="1" x14ac:dyDescent="0.35">
      <c r="B12" s="246" t="s">
        <v>180</v>
      </c>
      <c r="C12" s="247" t="s">
        <v>667</v>
      </c>
      <c r="D12" s="247"/>
      <c r="E12" s="266">
        <f>'YEAR 5'!AW67</f>
        <v>0</v>
      </c>
      <c r="F12" s="267"/>
      <c r="G12" s="266">
        <f>'YEAR 5'!AY67</f>
        <v>0</v>
      </c>
      <c r="H12" s="267"/>
      <c r="I12" s="268">
        <v>0</v>
      </c>
      <c r="J12" s="267"/>
      <c r="K12" s="269">
        <f>ROUND(E12+G12+I12,0)</f>
        <v>0</v>
      </c>
      <c r="L12" s="248"/>
      <c r="M12" s="237">
        <f>ROUND('YEAR 5'!BA67,0)</f>
        <v>0</v>
      </c>
    </row>
    <row r="13" spans="2:19" ht="4.5" customHeight="1" thickBot="1" x14ac:dyDescent="0.35">
      <c r="B13" s="244"/>
      <c r="C13" s="244"/>
      <c r="D13" s="244"/>
      <c r="E13" s="267"/>
      <c r="F13" s="267"/>
      <c r="G13" s="267"/>
      <c r="H13" s="267"/>
      <c r="I13" s="267"/>
      <c r="J13" s="267"/>
      <c r="K13" s="270"/>
    </row>
    <row r="14" spans="2:19" ht="15" customHeight="1" thickBot="1" x14ac:dyDescent="0.35">
      <c r="B14" s="246" t="s">
        <v>182</v>
      </c>
      <c r="C14" s="249" t="s">
        <v>668</v>
      </c>
      <c r="D14" s="249"/>
      <c r="E14" s="266">
        <f>'YEAR 5'!BC67</f>
        <v>0</v>
      </c>
      <c r="F14" s="267"/>
      <c r="G14" s="266">
        <f>'YEAR 5'!BE67</f>
        <v>0</v>
      </c>
      <c r="H14" s="267"/>
      <c r="I14" s="268">
        <v>0</v>
      </c>
      <c r="J14" s="267"/>
      <c r="K14" s="269">
        <f>ROUND(E14+G14+I14,0)</f>
        <v>0</v>
      </c>
      <c r="M14" s="237">
        <f>ROUND('YEAR 5'!BG67,0)</f>
        <v>0</v>
      </c>
    </row>
    <row r="15" spans="2:19" ht="4.5" customHeight="1" thickBot="1" x14ac:dyDescent="0.35">
      <c r="B15" s="244"/>
      <c r="C15" s="244"/>
      <c r="D15" s="244"/>
      <c r="E15" s="267"/>
      <c r="F15" s="267"/>
      <c r="G15" s="267"/>
      <c r="H15" s="267"/>
      <c r="I15" s="267"/>
      <c r="J15" s="267"/>
      <c r="K15" s="270"/>
    </row>
    <row r="16" spans="2:19" ht="15" customHeight="1" thickBot="1" x14ac:dyDescent="0.35">
      <c r="B16" s="246" t="s">
        <v>184</v>
      </c>
      <c r="C16" s="247" t="s">
        <v>669</v>
      </c>
      <c r="D16" s="247"/>
      <c r="E16" s="266">
        <f>'YEAR 5'!P103</f>
        <v>0</v>
      </c>
      <c r="F16" s="267"/>
      <c r="G16" s="266">
        <f>'YEAR 5'!AC103</f>
        <v>0</v>
      </c>
      <c r="H16" s="267"/>
      <c r="I16" s="268">
        <v>0</v>
      </c>
      <c r="J16" s="267"/>
      <c r="K16" s="269">
        <f>ROUND(E16+G16+I16,0)</f>
        <v>0</v>
      </c>
      <c r="M16" s="237">
        <f>ROUND('YEAR 5'!AP103,0)</f>
        <v>0</v>
      </c>
    </row>
    <row r="17" spans="2:14" ht="4.5" customHeight="1" thickBot="1" x14ac:dyDescent="0.35">
      <c r="B17" s="244"/>
      <c r="C17" s="244"/>
      <c r="D17" s="244"/>
      <c r="E17" s="267"/>
      <c r="F17" s="267"/>
      <c r="G17" s="267"/>
      <c r="H17" s="267"/>
      <c r="I17" s="267"/>
      <c r="J17" s="267"/>
      <c r="K17" s="270"/>
    </row>
    <row r="18" spans="2:14" ht="15" customHeight="1" thickBot="1" x14ac:dyDescent="0.35">
      <c r="B18" s="246" t="s">
        <v>670</v>
      </c>
      <c r="C18" s="247" t="s">
        <v>671</v>
      </c>
      <c r="D18" s="247"/>
      <c r="E18" s="266">
        <f>'YEAR 5'!P76</f>
        <v>0</v>
      </c>
      <c r="F18" s="267"/>
      <c r="G18" s="266">
        <f>'YEAR 5'!AC76</f>
        <v>0</v>
      </c>
      <c r="H18" s="267"/>
      <c r="I18" s="268">
        <v>0</v>
      </c>
      <c r="J18" s="267"/>
      <c r="K18" s="269">
        <f>ROUND(E18+G18+I18,0)</f>
        <v>0</v>
      </c>
      <c r="M18" s="237">
        <f>ROUND('YEAR 5'!AP76,0)</f>
        <v>0</v>
      </c>
    </row>
    <row r="19" spans="2:14" ht="4.5" customHeight="1" thickBot="1" x14ac:dyDescent="0.35">
      <c r="B19" s="244"/>
      <c r="C19" s="244"/>
      <c r="D19" s="244"/>
      <c r="E19" s="267"/>
      <c r="F19" s="267"/>
      <c r="G19" s="267"/>
      <c r="H19" s="267"/>
      <c r="I19" s="267"/>
      <c r="J19" s="267"/>
      <c r="K19" s="270"/>
    </row>
    <row r="20" spans="2:14" ht="15" customHeight="1" thickBot="1" x14ac:dyDescent="0.35">
      <c r="B20" s="246" t="s">
        <v>672</v>
      </c>
      <c r="C20" s="247" t="s">
        <v>673</v>
      </c>
      <c r="D20" s="247"/>
      <c r="E20" s="266">
        <f>'YEAR 5'!P166</f>
        <v>0</v>
      </c>
      <c r="F20" s="267"/>
      <c r="G20" s="266">
        <f>'YEAR 5'!AC166</f>
        <v>0</v>
      </c>
      <c r="H20" s="267"/>
      <c r="I20" s="268">
        <v>0</v>
      </c>
      <c r="J20" s="267"/>
      <c r="K20" s="269">
        <f>ROUND(E20+G20+I20,0)</f>
        <v>0</v>
      </c>
    </row>
    <row r="21" spans="2:14" ht="4.5" customHeight="1" thickBot="1" x14ac:dyDescent="0.35">
      <c r="B21" s="244"/>
      <c r="C21" s="244"/>
      <c r="D21" s="244"/>
      <c r="E21" s="267"/>
      <c r="F21" s="267"/>
      <c r="G21" s="267"/>
      <c r="H21" s="267"/>
      <c r="I21" s="267"/>
      <c r="J21" s="267"/>
      <c r="K21" s="270"/>
    </row>
    <row r="22" spans="2:14" ht="15" customHeight="1" thickBot="1" x14ac:dyDescent="0.35">
      <c r="B22" s="246" t="s">
        <v>674</v>
      </c>
      <c r="C22" s="247" t="s">
        <v>675</v>
      </c>
      <c r="D22" s="247"/>
      <c r="E22" s="266">
        <f>'YEAR 5'!P184+'YEAR 5'!P202</f>
        <v>0</v>
      </c>
      <c r="F22" s="267"/>
      <c r="G22" s="266">
        <f>'YEAR 5'!AC184+'YEAR 5'!AC202</f>
        <v>0</v>
      </c>
      <c r="H22" s="267"/>
      <c r="I22" s="268">
        <v>0</v>
      </c>
      <c r="J22" s="267"/>
      <c r="K22" s="269">
        <f>ROUND(E22+G22+I22,0)</f>
        <v>0</v>
      </c>
    </row>
    <row r="23" spans="2:14" ht="4.5" customHeight="1" thickBot="1" x14ac:dyDescent="0.35">
      <c r="E23" s="267"/>
      <c r="F23" s="267"/>
      <c r="G23" s="267"/>
      <c r="H23" s="267"/>
      <c r="I23" s="267"/>
      <c r="J23" s="267"/>
      <c r="K23" s="270"/>
    </row>
    <row r="24" spans="2:14" ht="14.4" thickBot="1" x14ac:dyDescent="0.35">
      <c r="B24" s="246" t="s">
        <v>676</v>
      </c>
      <c r="C24" s="247" t="s">
        <v>677</v>
      </c>
      <c r="D24" s="247"/>
      <c r="E24" s="266">
        <f>'YEAR 5'!P220</f>
        <v>0</v>
      </c>
      <c r="F24" s="267"/>
      <c r="G24" s="266">
        <f>'YEAR 5'!AC220</f>
        <v>0</v>
      </c>
      <c r="H24" s="267"/>
      <c r="I24" s="268">
        <v>0</v>
      </c>
      <c r="J24" s="267"/>
      <c r="K24" s="269">
        <f>ROUND(E24+G24+I24,0)</f>
        <v>0</v>
      </c>
    </row>
    <row r="25" spans="2:14" ht="4.5" customHeight="1" thickBot="1" x14ac:dyDescent="0.35">
      <c r="B25" s="244"/>
      <c r="E25" s="267"/>
      <c r="F25" s="267"/>
      <c r="G25" s="267"/>
      <c r="H25" s="267"/>
      <c r="I25" s="267"/>
      <c r="J25" s="267"/>
      <c r="K25" s="270"/>
    </row>
    <row r="26" spans="2:14" ht="14.4" thickBot="1" x14ac:dyDescent="0.35">
      <c r="B26" s="246" t="s">
        <v>678</v>
      </c>
      <c r="C26" s="247" t="s">
        <v>679</v>
      </c>
      <c r="D26" s="247"/>
      <c r="E26" s="271">
        <f>'YEAR 5'!P151+'YEAR 5'!P175+'YEAR 5'!P193+'YEAR 5'!P211+'YEAR 5'!P231</f>
        <v>0</v>
      </c>
      <c r="F26" s="267"/>
      <c r="G26" s="266">
        <f>'YEAR 5'!AC151+'YEAR 5'!AC175+'YEAR 5'!AC193+'YEAR 5'!AC231</f>
        <v>0</v>
      </c>
      <c r="H26" s="267"/>
      <c r="I26" s="268">
        <v>0</v>
      </c>
      <c r="J26" s="267"/>
      <c r="K26" s="269">
        <f>ROUND(E26+G26+I26,0)</f>
        <v>0</v>
      </c>
    </row>
    <row r="27" spans="2:14" ht="4.5" customHeight="1" thickBot="1" x14ac:dyDescent="0.35">
      <c r="B27" s="244"/>
      <c r="E27" s="267"/>
      <c r="F27" s="267"/>
      <c r="G27" s="267"/>
      <c r="H27" s="267"/>
      <c r="I27" s="267"/>
      <c r="J27" s="267"/>
      <c r="K27" s="270"/>
    </row>
    <row r="28" spans="2:14" ht="14.4" thickBot="1" x14ac:dyDescent="0.35">
      <c r="B28" s="246" t="s">
        <v>680</v>
      </c>
      <c r="C28" s="247" t="s">
        <v>681</v>
      </c>
      <c r="D28" s="247"/>
      <c r="E28" s="266">
        <f>ROUND(SUM(E11:E27),0)</f>
        <v>0</v>
      </c>
      <c r="F28" s="267"/>
      <c r="G28" s="266">
        <f>ROUND(SUM(G11:G27),0)</f>
        <v>0</v>
      </c>
      <c r="H28" s="267"/>
      <c r="I28" s="266">
        <f>ROUND(SUM(I11:I27),0)</f>
        <v>0</v>
      </c>
      <c r="J28" s="267"/>
      <c r="K28" s="269">
        <f>ROUND(E28+G28+I28,0)</f>
        <v>0</v>
      </c>
      <c r="M28" s="250">
        <f>ROUND(SUM(K12:K26),0)</f>
        <v>0</v>
      </c>
      <c r="N28" s="237">
        <f>IF(M28&lt;&gt;K28,1,0)</f>
        <v>0</v>
      </c>
    </row>
    <row r="29" spans="2:14" ht="4.5" customHeight="1" thickBot="1" x14ac:dyDescent="0.35">
      <c r="B29" s="244"/>
      <c r="E29" s="267"/>
      <c r="F29" s="267"/>
      <c r="G29" s="267"/>
      <c r="H29" s="267"/>
      <c r="I29" s="267"/>
      <c r="J29" s="267"/>
      <c r="K29" s="270"/>
    </row>
    <row r="30" spans="2:14" ht="14.4" thickBot="1" x14ac:dyDescent="0.35">
      <c r="B30" s="246" t="s">
        <v>682</v>
      </c>
      <c r="C30" s="247" t="s">
        <v>683</v>
      </c>
      <c r="D30" s="247"/>
      <c r="E30" s="266">
        <f>E42</f>
        <v>0</v>
      </c>
      <c r="F30" s="267"/>
      <c r="G30" s="266">
        <f>G40</f>
        <v>0</v>
      </c>
      <c r="H30" s="267"/>
      <c r="I30" s="266">
        <f>ROUND(I42,0)</f>
        <v>0</v>
      </c>
      <c r="J30" s="267"/>
      <c r="K30" s="269">
        <f>ROUND(E30+G30+I30,0)</f>
        <v>0</v>
      </c>
    </row>
    <row r="31" spans="2:14" ht="5.25" customHeight="1" x14ac:dyDescent="0.3">
      <c r="B31" s="246"/>
      <c r="C31" s="247"/>
      <c r="D31" s="247"/>
      <c r="E31" s="267"/>
      <c r="F31" s="267"/>
      <c r="G31" s="267"/>
      <c r="H31" s="267"/>
      <c r="I31" s="267"/>
      <c r="J31" s="267"/>
      <c r="K31" s="270"/>
    </row>
    <row r="32" spans="2:14" x14ac:dyDescent="0.3">
      <c r="B32" s="244"/>
      <c r="C32" s="251" t="s">
        <v>684</v>
      </c>
      <c r="E32" s="272"/>
      <c r="F32" s="272"/>
      <c r="G32" s="272"/>
      <c r="H32" s="272"/>
      <c r="I32" s="272"/>
      <c r="J32" s="272"/>
      <c r="K32" s="270"/>
    </row>
    <row r="33" spans="2:11" x14ac:dyDescent="0.3">
      <c r="B33" s="244"/>
      <c r="D33" s="237" t="s">
        <v>685</v>
      </c>
      <c r="E33" s="273">
        <f>'YEAR 5'!P240</f>
        <v>0</v>
      </c>
      <c r="F33" s="272"/>
      <c r="G33" s="273">
        <f>'YEAR 5'!AC240</f>
        <v>0</v>
      </c>
      <c r="H33" s="272"/>
      <c r="I33" s="267">
        <v>0</v>
      </c>
      <c r="J33" s="272"/>
      <c r="K33" s="270"/>
    </row>
    <row r="34" spans="2:11" x14ac:dyDescent="0.3">
      <c r="B34" s="244"/>
      <c r="D34" s="237" t="s">
        <v>686</v>
      </c>
      <c r="E34" s="274">
        <f>'YEAR 5'!P241</f>
        <v>0</v>
      </c>
      <c r="F34" s="272"/>
      <c r="G34" s="274">
        <f>'YEAR 5'!AC241</f>
        <v>0</v>
      </c>
      <c r="H34" s="272"/>
      <c r="I34" s="275">
        <v>0</v>
      </c>
      <c r="J34" s="272"/>
      <c r="K34" s="270"/>
    </row>
    <row r="35" spans="2:11" ht="4.5" customHeight="1" x14ac:dyDescent="0.3">
      <c r="B35" s="244"/>
      <c r="E35" s="272"/>
      <c r="F35" s="272"/>
      <c r="G35" s="272"/>
      <c r="H35" s="272"/>
      <c r="I35" s="267"/>
      <c r="J35" s="272"/>
      <c r="K35" s="270"/>
    </row>
    <row r="36" spans="2:11" x14ac:dyDescent="0.3">
      <c r="B36" s="244"/>
      <c r="C36" s="237" t="s">
        <v>687</v>
      </c>
      <c r="E36" s="273">
        <f>'YEAR 5'!P243</f>
        <v>0</v>
      </c>
      <c r="F36" s="272"/>
      <c r="G36" s="273">
        <f>'YEAR 5'!AD243</f>
        <v>0</v>
      </c>
      <c r="H36" s="272"/>
      <c r="I36" s="267">
        <v>0</v>
      </c>
      <c r="J36" s="272"/>
      <c r="K36" s="270"/>
    </row>
    <row r="37" spans="2:11" ht="4.5" customHeight="1" x14ac:dyDescent="0.3">
      <c r="B37" s="244"/>
      <c r="E37" s="272"/>
      <c r="F37" s="272"/>
      <c r="G37" s="272"/>
      <c r="H37" s="272"/>
      <c r="I37" s="267"/>
      <c r="J37" s="272"/>
      <c r="K37" s="270"/>
    </row>
    <row r="38" spans="2:11" x14ac:dyDescent="0.3">
      <c r="B38" s="244"/>
      <c r="D38" s="237" t="str">
        <f>'YEAR 5'!C245</f>
        <v>SDSM&amp;T  Indirect  @ 42.0%</v>
      </c>
      <c r="E38" s="273">
        <f>'YEAR 5'!P245</f>
        <v>0</v>
      </c>
      <c r="F38" s="276"/>
      <c r="G38" s="273">
        <f>'YEAR 5'!AC245</f>
        <v>0</v>
      </c>
      <c r="H38" s="276"/>
      <c r="I38" s="267">
        <v>0</v>
      </c>
      <c r="J38" s="276"/>
      <c r="K38" s="270"/>
    </row>
    <row r="39" spans="2:11" ht="3.75" customHeight="1" x14ac:dyDescent="0.3">
      <c r="B39" s="244"/>
      <c r="E39" s="272"/>
      <c r="F39" s="272"/>
      <c r="G39" s="272"/>
      <c r="H39" s="272"/>
      <c r="I39" s="267"/>
      <c r="J39" s="272"/>
      <c r="K39" s="270"/>
    </row>
    <row r="40" spans="2:11" x14ac:dyDescent="0.3">
      <c r="B40" s="244"/>
      <c r="D40" s="237" t="str">
        <f>'YEAR 5'!D247</f>
        <v>SDSM&amp;T Unrecovered Indirect @ 0.0%</v>
      </c>
      <c r="E40" s="274">
        <f>'YEAR 5'!P247</f>
        <v>0</v>
      </c>
      <c r="F40" s="276"/>
      <c r="G40" s="274">
        <f>'YEAR 5'!AC247</f>
        <v>0</v>
      </c>
      <c r="H40" s="276"/>
      <c r="I40" s="275">
        <v>0</v>
      </c>
      <c r="J40" s="276"/>
      <c r="K40" s="270"/>
    </row>
    <row r="41" spans="2:11" ht="3.75" customHeight="1" x14ac:dyDescent="0.3">
      <c r="B41" s="244"/>
      <c r="E41" s="272"/>
      <c r="F41" s="272"/>
      <c r="G41" s="272"/>
      <c r="H41" s="272"/>
      <c r="I41" s="267"/>
      <c r="J41" s="272"/>
      <c r="K41" s="270"/>
    </row>
    <row r="42" spans="2:11" x14ac:dyDescent="0.3">
      <c r="B42" s="244"/>
      <c r="D42" s="237" t="str">
        <f>'YEAR 5'!C249</f>
        <v>SDSM&amp;T Indirect Recovered @ 42.0%</v>
      </c>
      <c r="E42" s="273">
        <f>'YEAR 5'!P249</f>
        <v>0</v>
      </c>
      <c r="F42" s="276"/>
      <c r="G42" s="273">
        <f>'YEAR 5'!AC251</f>
        <v>0</v>
      </c>
      <c r="H42" s="276"/>
      <c r="I42" s="267">
        <v>0</v>
      </c>
      <c r="J42" s="276"/>
      <c r="K42" s="270"/>
    </row>
    <row r="43" spans="2:11" ht="4.5" customHeight="1" thickBot="1" x14ac:dyDescent="0.35">
      <c r="B43" s="244"/>
      <c r="E43" s="272"/>
      <c r="F43" s="272"/>
      <c r="G43" s="272"/>
      <c r="H43" s="272"/>
      <c r="I43" s="272"/>
      <c r="J43" s="272"/>
      <c r="K43" s="270"/>
    </row>
    <row r="44" spans="2:11" ht="14.4" thickBot="1" x14ac:dyDescent="0.35">
      <c r="B44" s="246" t="s">
        <v>688</v>
      </c>
      <c r="C44" s="247" t="s">
        <v>689</v>
      </c>
      <c r="D44" s="247"/>
      <c r="E44" s="269">
        <f>ROUND(E42+E28,0)</f>
        <v>0</v>
      </c>
      <c r="F44" s="270"/>
      <c r="G44" s="269">
        <f>ROUND(G42+G28,0)</f>
        <v>0</v>
      </c>
      <c r="H44" s="270"/>
      <c r="I44" s="269">
        <f>ROUND(I42+I28,0)</f>
        <v>0</v>
      </c>
      <c r="J44" s="270"/>
      <c r="K44" s="269">
        <f>ROUND(E44+G44+I44,0)</f>
        <v>0</v>
      </c>
    </row>
    <row r="46" spans="2:11" x14ac:dyDescent="0.3">
      <c r="B46" s="252" t="s">
        <v>690</v>
      </c>
      <c r="C46" s="237" t="s">
        <v>691</v>
      </c>
    </row>
    <row r="55" spans="1:15" s="253" customFormat="1" x14ac:dyDescent="0.3">
      <c r="A55" s="253" t="s">
        <v>692</v>
      </c>
      <c r="E55" s="254"/>
      <c r="F55" s="254"/>
      <c r="G55" s="254"/>
      <c r="H55" s="254"/>
      <c r="I55" s="254"/>
      <c r="J55" s="254"/>
      <c r="K55" s="254"/>
      <c r="L55" s="253" t="s">
        <v>839</v>
      </c>
    </row>
    <row r="57" spans="1:15" x14ac:dyDescent="0.3">
      <c r="A57" s="252" t="s">
        <v>694</v>
      </c>
      <c r="B57" s="237" t="s">
        <v>695</v>
      </c>
      <c r="L57" s="237" t="s">
        <v>694</v>
      </c>
      <c r="M57" s="237" t="s">
        <v>695</v>
      </c>
      <c r="O57" s="237" t="s">
        <v>696</v>
      </c>
    </row>
    <row r="58" spans="1:15" x14ac:dyDescent="0.3">
      <c r="A58" s="252" t="s">
        <v>697</v>
      </c>
      <c r="B58" s="237" t="s">
        <v>698</v>
      </c>
      <c r="L58" s="237" t="s">
        <v>697</v>
      </c>
      <c r="M58" s="237" t="s">
        <v>698</v>
      </c>
      <c r="O58" s="237" t="s">
        <v>696</v>
      </c>
    </row>
    <row r="59" spans="1:15" x14ac:dyDescent="0.3">
      <c r="A59" s="252"/>
      <c r="B59" s="237">
        <v>1</v>
      </c>
      <c r="C59" s="237" t="s">
        <v>699</v>
      </c>
      <c r="L59" s="237" t="s">
        <v>700</v>
      </c>
      <c r="M59" s="237" t="s">
        <v>671</v>
      </c>
    </row>
    <row r="60" spans="1:15" x14ac:dyDescent="0.3">
      <c r="A60" s="252"/>
      <c r="B60" s="237">
        <v>2</v>
      </c>
      <c r="C60" s="237" t="s">
        <v>701</v>
      </c>
      <c r="L60" s="237" t="s">
        <v>702</v>
      </c>
      <c r="M60" s="237" t="s">
        <v>703</v>
      </c>
    </row>
    <row r="61" spans="1:15" x14ac:dyDescent="0.3">
      <c r="A61" s="252"/>
      <c r="B61" s="237">
        <v>3</v>
      </c>
      <c r="C61" s="237" t="s">
        <v>704</v>
      </c>
      <c r="L61" s="237">
        <v>1</v>
      </c>
      <c r="M61" s="237" t="s">
        <v>705</v>
      </c>
    </row>
    <row r="62" spans="1:15" x14ac:dyDescent="0.3">
      <c r="A62" s="252"/>
      <c r="B62" s="237">
        <v>4</v>
      </c>
      <c r="C62" s="237" t="s">
        <v>706</v>
      </c>
      <c r="L62" s="237">
        <v>2</v>
      </c>
      <c r="M62" s="237" t="s">
        <v>707</v>
      </c>
    </row>
    <row r="63" spans="1:15" x14ac:dyDescent="0.3">
      <c r="A63" s="252"/>
      <c r="B63" s="237">
        <v>5</v>
      </c>
      <c r="C63" s="237" t="s">
        <v>708</v>
      </c>
      <c r="L63" s="237" t="s">
        <v>709</v>
      </c>
      <c r="M63" s="237" t="s">
        <v>710</v>
      </c>
    </row>
    <row r="64" spans="1:15" x14ac:dyDescent="0.3">
      <c r="A64" s="252"/>
      <c r="B64" s="237">
        <v>6</v>
      </c>
      <c r="C64" s="237" t="s">
        <v>679</v>
      </c>
      <c r="L64" s="237">
        <v>1</v>
      </c>
      <c r="M64" s="237" t="s">
        <v>711</v>
      </c>
    </row>
    <row r="65" spans="1:13" x14ac:dyDescent="0.3">
      <c r="A65" s="252" t="s">
        <v>700</v>
      </c>
      <c r="B65" s="237" t="s">
        <v>712</v>
      </c>
      <c r="L65" s="237">
        <v>2</v>
      </c>
      <c r="M65" s="237" t="s">
        <v>713</v>
      </c>
    </row>
    <row r="66" spans="1:13" x14ac:dyDescent="0.3">
      <c r="A66" s="252" t="s">
        <v>702</v>
      </c>
      <c r="B66" s="237" t="s">
        <v>671</v>
      </c>
      <c r="L66" s="237">
        <v>3</v>
      </c>
      <c r="M66" s="237" t="s">
        <v>703</v>
      </c>
    </row>
    <row r="67" spans="1:13" x14ac:dyDescent="0.3">
      <c r="A67" s="252" t="s">
        <v>709</v>
      </c>
      <c r="B67" s="237" t="s">
        <v>703</v>
      </c>
      <c r="L67" s="237">
        <v>4</v>
      </c>
      <c r="M67" s="237" t="s">
        <v>714</v>
      </c>
    </row>
    <row r="68" spans="1:13" x14ac:dyDescent="0.3">
      <c r="A68" s="252"/>
      <c r="B68" s="237">
        <v>1</v>
      </c>
      <c r="C68" s="237" t="s">
        <v>715</v>
      </c>
      <c r="L68" s="237">
        <v>5</v>
      </c>
      <c r="M68" s="237" t="s">
        <v>679</v>
      </c>
    </row>
    <row r="69" spans="1:13" x14ac:dyDescent="0.3">
      <c r="A69" s="252"/>
      <c r="B69" s="237">
        <v>2</v>
      </c>
      <c r="C69" s="237" t="s">
        <v>716</v>
      </c>
      <c r="L69" s="237" t="s">
        <v>717</v>
      </c>
      <c r="M69" s="237" t="s">
        <v>718</v>
      </c>
    </row>
    <row r="70" spans="1:13" x14ac:dyDescent="0.3">
      <c r="A70" s="252" t="s">
        <v>717</v>
      </c>
      <c r="B70" s="237" t="s">
        <v>719</v>
      </c>
      <c r="L70" s="237">
        <v>1</v>
      </c>
      <c r="M70" s="237" t="s">
        <v>720</v>
      </c>
    </row>
    <row r="71" spans="1:13" x14ac:dyDescent="0.3">
      <c r="A71" s="252"/>
      <c r="B71" s="237">
        <v>1</v>
      </c>
      <c r="C71" s="237" t="s">
        <v>713</v>
      </c>
      <c r="L71" s="237">
        <v>2</v>
      </c>
      <c r="M71" s="237" t="s">
        <v>721</v>
      </c>
    </row>
    <row r="72" spans="1:13" x14ac:dyDescent="0.3">
      <c r="A72" s="252"/>
      <c r="B72" s="237">
        <v>2</v>
      </c>
      <c r="C72" s="237" t="s">
        <v>703</v>
      </c>
      <c r="L72" s="237">
        <v>3</v>
      </c>
      <c r="M72" s="237" t="s">
        <v>722</v>
      </c>
    </row>
    <row r="73" spans="1:13" x14ac:dyDescent="0.3">
      <c r="A73" s="252"/>
      <c r="B73" s="237">
        <v>3</v>
      </c>
      <c r="C73" s="237" t="s">
        <v>714</v>
      </c>
      <c r="L73" s="237">
        <v>4</v>
      </c>
      <c r="M73" s="237" t="s">
        <v>723</v>
      </c>
    </row>
    <row r="74" spans="1:13" x14ac:dyDescent="0.3">
      <c r="A74" s="252"/>
      <c r="B74" s="237">
        <v>4</v>
      </c>
      <c r="C74" s="237" t="s">
        <v>679</v>
      </c>
      <c r="L74" s="237">
        <v>5</v>
      </c>
      <c r="M74" s="237" t="s">
        <v>724</v>
      </c>
    </row>
    <row r="75" spans="1:13" x14ac:dyDescent="0.3">
      <c r="A75" s="252" t="s">
        <v>725</v>
      </c>
      <c r="B75" s="237" t="s">
        <v>718</v>
      </c>
      <c r="L75" s="237">
        <v>6</v>
      </c>
      <c r="M75" s="237" t="s">
        <v>726</v>
      </c>
    </row>
    <row r="76" spans="1:13" x14ac:dyDescent="0.3">
      <c r="A76" s="252"/>
      <c r="B76" s="237">
        <v>1</v>
      </c>
      <c r="C76" s="237" t="s">
        <v>720</v>
      </c>
      <c r="L76" s="237">
        <v>7</v>
      </c>
      <c r="M76" s="237" t="s">
        <v>727</v>
      </c>
    </row>
    <row r="77" spans="1:13" x14ac:dyDescent="0.3">
      <c r="A77" s="252"/>
      <c r="B77" s="237">
        <v>2</v>
      </c>
      <c r="C77" s="237" t="s">
        <v>728</v>
      </c>
      <c r="L77" s="237">
        <v>8</v>
      </c>
      <c r="M77" s="237" t="s">
        <v>679</v>
      </c>
    </row>
    <row r="78" spans="1:13" x14ac:dyDescent="0.3">
      <c r="A78" s="252"/>
      <c r="B78" s="237">
        <v>3</v>
      </c>
      <c r="C78" s="237" t="s">
        <v>722</v>
      </c>
      <c r="L78" s="237" t="s">
        <v>725</v>
      </c>
      <c r="M78" s="237" t="s">
        <v>729</v>
      </c>
    </row>
    <row r="79" spans="1:13" x14ac:dyDescent="0.3">
      <c r="A79" s="252"/>
      <c r="B79" s="237">
        <v>4</v>
      </c>
      <c r="C79" s="237" t="s">
        <v>730</v>
      </c>
      <c r="L79" s="237" t="s">
        <v>731</v>
      </c>
      <c r="M79" s="237" t="s">
        <v>683</v>
      </c>
    </row>
    <row r="80" spans="1:13" x14ac:dyDescent="0.3">
      <c r="A80" s="252"/>
      <c r="B80" s="237">
        <v>5</v>
      </c>
      <c r="C80" s="237" t="s">
        <v>732</v>
      </c>
      <c r="L80" s="237" t="s">
        <v>733</v>
      </c>
      <c r="M80" s="237" t="s">
        <v>734</v>
      </c>
    </row>
    <row r="81" spans="1:13" x14ac:dyDescent="0.3">
      <c r="A81" s="252"/>
      <c r="B81" s="237">
        <v>6</v>
      </c>
      <c r="C81" s="237" t="s">
        <v>679</v>
      </c>
      <c r="L81" s="237" t="s">
        <v>735</v>
      </c>
      <c r="M81" s="237" t="s">
        <v>736</v>
      </c>
    </row>
    <row r="82" spans="1:13" x14ac:dyDescent="0.3">
      <c r="A82" s="252" t="s">
        <v>731</v>
      </c>
      <c r="B82" s="237" t="s">
        <v>685</v>
      </c>
      <c r="L82" s="237" t="s">
        <v>737</v>
      </c>
      <c r="M82" s="237" t="s">
        <v>738</v>
      </c>
    </row>
    <row r="83" spans="1:13" x14ac:dyDescent="0.3">
      <c r="A83" s="252" t="s">
        <v>733</v>
      </c>
      <c r="B83" s="237" t="s">
        <v>683</v>
      </c>
    </row>
    <row r="84" spans="1:13" x14ac:dyDescent="0.3">
      <c r="A84" s="252" t="s">
        <v>739</v>
      </c>
      <c r="B84" s="237" t="s">
        <v>740</v>
      </c>
    </row>
    <row r="85" spans="1:13" x14ac:dyDescent="0.3">
      <c r="A85" s="252" t="s">
        <v>737</v>
      </c>
      <c r="B85" s="237" t="s">
        <v>741</v>
      </c>
    </row>
    <row r="86" spans="1:13" x14ac:dyDescent="0.3">
      <c r="A86" s="252" t="s">
        <v>742</v>
      </c>
      <c r="B86" s="237" t="s">
        <v>743</v>
      </c>
    </row>
    <row r="87" spans="1:13" x14ac:dyDescent="0.3">
      <c r="A87" s="252" t="s">
        <v>744</v>
      </c>
      <c r="B87" s="237" t="s">
        <v>745</v>
      </c>
    </row>
  </sheetData>
  <mergeCells count="8">
    <mergeCell ref="B8:K8"/>
    <mergeCell ref="E9:K9"/>
    <mergeCell ref="C1:L1"/>
    <mergeCell ref="C2:L2"/>
    <mergeCell ref="C3:K3"/>
    <mergeCell ref="B5:K5"/>
    <mergeCell ref="B6:K6"/>
    <mergeCell ref="B7:K7"/>
  </mergeCells>
  <conditionalFormatting sqref="M28">
    <cfRule type="expression" dxfId="6"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87"/>
  <sheetViews>
    <sheetView topLeftCell="C19" workbookViewId="0">
      <selection activeCell="D4" sqref="D4:Y4"/>
    </sheetView>
  </sheetViews>
  <sheetFormatPr defaultColWidth="8" defaultRowHeight="13.8" x14ac:dyDescent="0.3"/>
  <cols>
    <col min="1" max="1" width="5.109375" style="237" customWidth="1"/>
    <col min="2" max="2" width="8" style="237" customWidth="1"/>
    <col min="3" max="3" width="5.109375" style="237" customWidth="1"/>
    <col min="4" max="4" width="27.109375" style="237" customWidth="1"/>
    <col min="5" max="5" width="9.21875" style="244" customWidth="1"/>
    <col min="6" max="6" width="0.88671875" style="244" customWidth="1"/>
    <col min="7" max="7" width="7.109375" style="244" customWidth="1"/>
    <col min="8" max="8" width="0.88671875" style="244" customWidth="1"/>
    <col min="9" max="9" width="7.109375" style="244" customWidth="1"/>
    <col min="10" max="10" width="0.88671875" style="244" customWidth="1"/>
    <col min="11" max="11" width="8.21875" style="244" customWidth="1"/>
    <col min="12" max="12" width="4.88671875" style="237" customWidth="1"/>
    <col min="13" max="13" width="8" style="237" customWidth="1"/>
    <col min="14" max="14" width="3.109375" style="237" customWidth="1"/>
    <col min="15" max="16384" width="8" style="237"/>
  </cols>
  <sheetData>
    <row r="1" spans="2:19" ht="33" customHeight="1" x14ac:dyDescent="0.4">
      <c r="C1" s="710" t="s">
        <v>659</v>
      </c>
      <c r="D1" s="710"/>
      <c r="E1" s="710"/>
      <c r="F1" s="710"/>
      <c r="G1" s="710"/>
      <c r="H1" s="710"/>
      <c r="I1" s="710"/>
      <c r="J1" s="710"/>
      <c r="K1" s="710"/>
      <c r="L1" s="710"/>
    </row>
    <row r="2" spans="2:19" ht="24" customHeight="1" x14ac:dyDescent="0.4">
      <c r="C2" s="713" t="s">
        <v>660</v>
      </c>
      <c r="D2" s="713"/>
      <c r="E2" s="713"/>
      <c r="F2" s="713"/>
      <c r="G2" s="713"/>
      <c r="H2" s="713"/>
      <c r="I2" s="713"/>
      <c r="J2" s="713"/>
      <c r="K2" s="713"/>
      <c r="L2" s="713"/>
    </row>
    <row r="3" spans="2:19" ht="25.5" customHeight="1" x14ac:dyDescent="0.3">
      <c r="C3" s="711" t="s">
        <v>661</v>
      </c>
      <c r="D3" s="711"/>
      <c r="E3" s="711"/>
      <c r="F3" s="711"/>
      <c r="G3" s="711"/>
      <c r="H3" s="711"/>
      <c r="I3" s="711"/>
      <c r="J3" s="711"/>
      <c r="K3" s="711"/>
    </row>
    <row r="4" spans="2:19" ht="9.75" customHeight="1" x14ac:dyDescent="0.3">
      <c r="C4" s="599"/>
      <c r="D4" s="599"/>
      <c r="E4" s="599"/>
      <c r="F4" s="599"/>
      <c r="G4" s="599"/>
      <c r="H4" s="599"/>
      <c r="I4" s="599"/>
      <c r="J4" s="599"/>
      <c r="K4" s="599"/>
    </row>
    <row r="5" spans="2:19" ht="47.25" customHeight="1" x14ac:dyDescent="0.3">
      <c r="B5" s="712">
        <f>'YEAR 5'!D4</f>
        <v>0</v>
      </c>
      <c r="C5" s="712"/>
      <c r="D5" s="712"/>
      <c r="E5" s="712"/>
      <c r="F5" s="712"/>
      <c r="G5" s="712"/>
      <c r="H5" s="712"/>
      <c r="I5" s="712"/>
      <c r="J5" s="712"/>
      <c r="K5" s="712"/>
      <c r="L5" s="238"/>
      <c r="M5" s="238"/>
      <c r="N5" s="239" t="s">
        <v>179</v>
      </c>
      <c r="O5" s="238"/>
      <c r="P5" s="238"/>
      <c r="Q5" s="238"/>
      <c r="R5" s="238"/>
      <c r="S5" s="238"/>
    </row>
    <row r="6" spans="2:19" ht="15.6" x14ac:dyDescent="0.3">
      <c r="B6" s="714" t="s">
        <v>841</v>
      </c>
      <c r="C6" s="714"/>
      <c r="D6" s="714"/>
      <c r="E6" s="714"/>
      <c r="F6" s="714"/>
      <c r="G6" s="714"/>
      <c r="H6" s="714"/>
      <c r="I6" s="714"/>
      <c r="J6" s="714"/>
      <c r="K6" s="714"/>
    </row>
    <row r="7" spans="2:19" ht="18" x14ac:dyDescent="0.35">
      <c r="B7" s="708"/>
      <c r="C7" s="708"/>
      <c r="D7" s="708"/>
      <c r="E7" s="708"/>
      <c r="F7" s="708"/>
      <c r="G7" s="708"/>
      <c r="H7" s="708"/>
      <c r="I7" s="708"/>
      <c r="J7" s="708"/>
      <c r="K7" s="708"/>
    </row>
    <row r="8" spans="2:19" ht="2.25" customHeight="1" x14ac:dyDescent="0.3">
      <c r="B8" s="709"/>
      <c r="C8" s="709"/>
      <c r="D8" s="709"/>
      <c r="E8" s="709"/>
      <c r="F8" s="709"/>
      <c r="G8" s="709"/>
      <c r="H8" s="709"/>
      <c r="I8" s="709"/>
      <c r="J8" s="709"/>
      <c r="K8" s="709"/>
    </row>
    <row r="9" spans="2:19" s="240" customFormat="1" ht="15.6" x14ac:dyDescent="0.2">
      <c r="B9" s="598"/>
      <c r="C9" s="598"/>
      <c r="D9" s="598"/>
      <c r="E9" s="707"/>
      <c r="F9" s="707"/>
      <c r="G9" s="707"/>
      <c r="H9" s="707"/>
      <c r="I9" s="707"/>
      <c r="J9" s="707"/>
      <c r="K9" s="707"/>
    </row>
    <row r="10" spans="2:19" ht="41.4" x14ac:dyDescent="0.3">
      <c r="B10" s="241" t="s">
        <v>662</v>
      </c>
      <c r="C10" s="241"/>
      <c r="D10" s="241"/>
      <c r="E10" s="242" t="s">
        <v>663</v>
      </c>
      <c r="F10" s="242"/>
      <c r="G10" s="242" t="s">
        <v>664</v>
      </c>
      <c r="H10" s="242"/>
      <c r="I10" s="242" t="s">
        <v>665</v>
      </c>
      <c r="J10" s="242"/>
      <c r="K10" s="243" t="s">
        <v>666</v>
      </c>
    </row>
    <row r="11" spans="2:19" ht="15" customHeight="1" thickBot="1" x14ac:dyDescent="0.35">
      <c r="B11" s="244"/>
      <c r="C11" s="244"/>
      <c r="D11" s="244"/>
      <c r="K11" s="245"/>
    </row>
    <row r="12" spans="2:19" ht="15" customHeight="1" thickBot="1" x14ac:dyDescent="0.35">
      <c r="B12" s="246" t="s">
        <v>180</v>
      </c>
      <c r="C12" s="247" t="s">
        <v>667</v>
      </c>
      <c r="D12" s="247"/>
      <c r="E12" s="255" t="e">
        <f>FedSumYR1!E12+FedSumYR2!E12+FedSumYR3!E12+FedSumYR4!E12+FedSumYR5!E12</f>
        <v>#REF!</v>
      </c>
      <c r="F12" s="256"/>
      <c r="G12" s="255" t="e">
        <f>FedSumYR1!G12+FedSumYR2!G12+FedSumYR3!G12+FedSumYR4!G12+FedSumYR5!G12</f>
        <v>#REF!</v>
      </c>
      <c r="H12" s="256"/>
      <c r="I12" s="255">
        <f>FedSumYR1!I12+FedSumYR2!I12+FedSumYR3!I12+FedSumYR4!I12+FedSumYR5!I12</f>
        <v>0</v>
      </c>
      <c r="J12" s="256"/>
      <c r="K12" s="257" t="e">
        <f>ROUND(E12+G12+I12,0)</f>
        <v>#REF!</v>
      </c>
      <c r="L12" s="248"/>
      <c r="M12" s="237">
        <f>ROUND('YEAR 5'!BA67,0)</f>
        <v>0</v>
      </c>
    </row>
    <row r="13" spans="2:19" ht="4.5" customHeight="1" thickBot="1" x14ac:dyDescent="0.35">
      <c r="B13" s="244"/>
      <c r="C13" s="244"/>
      <c r="D13" s="244"/>
      <c r="E13" s="256"/>
      <c r="F13" s="256"/>
      <c r="G13" s="256"/>
      <c r="H13" s="256"/>
      <c r="I13" s="256"/>
      <c r="J13" s="256"/>
      <c r="K13" s="258"/>
    </row>
    <row r="14" spans="2:19" ht="15" customHeight="1" thickBot="1" x14ac:dyDescent="0.35">
      <c r="B14" s="246" t="s">
        <v>182</v>
      </c>
      <c r="C14" s="249" t="s">
        <v>668</v>
      </c>
      <c r="D14" s="249"/>
      <c r="E14" s="255" t="e">
        <f>FedSumYR1!E14+FedSumYR2!E14+FedSumYR3!E14+FedSumYR4!E14+FedSumYR5!E14</f>
        <v>#REF!</v>
      </c>
      <c r="F14" s="256"/>
      <c r="G14" s="255" t="e">
        <f>FedSumYR1!G14+FedSumYR2!G14+FedSumYR3!G14+FedSumYR4!G14+FedSumYR5!G14</f>
        <v>#REF!</v>
      </c>
      <c r="H14" s="256"/>
      <c r="I14" s="255">
        <f>FedSumYR1!I14+FedSumYR2!I14+FedSumYR3!I14+FedSumYR4!I14+FedSumYR5!I14</f>
        <v>0</v>
      </c>
      <c r="J14" s="256"/>
      <c r="K14" s="257" t="e">
        <f>ROUND(E14+G14+I14,0)</f>
        <v>#REF!</v>
      </c>
      <c r="M14" s="237">
        <f>ROUND('YEAR 5'!BG67,0)</f>
        <v>0</v>
      </c>
    </row>
    <row r="15" spans="2:19" ht="4.5" customHeight="1" thickBot="1" x14ac:dyDescent="0.35">
      <c r="B15" s="244"/>
      <c r="C15" s="244"/>
      <c r="D15" s="244"/>
      <c r="E15" s="256"/>
      <c r="F15" s="256"/>
      <c r="G15" s="256"/>
      <c r="H15" s="256"/>
      <c r="I15" s="256"/>
      <c r="J15" s="256"/>
      <c r="K15" s="258"/>
    </row>
    <row r="16" spans="2:19" ht="15" customHeight="1" thickBot="1" x14ac:dyDescent="0.35">
      <c r="B16" s="246" t="s">
        <v>184</v>
      </c>
      <c r="C16" s="247" t="s">
        <v>669</v>
      </c>
      <c r="D16" s="247"/>
      <c r="E16" s="255">
        <f>FedSumYR1!E16+FedSumYR2!E16+FedSumYR3!E16+FedSumYR4!E16+FedSumYR5!E16</f>
        <v>0</v>
      </c>
      <c r="F16" s="256"/>
      <c r="G16" s="255">
        <f>FedSumYR1!G16+FedSumYR2!G16+FedSumYR3!G16+FedSumYR4!G16+FedSumYR5!G16</f>
        <v>0</v>
      </c>
      <c r="H16" s="256"/>
      <c r="I16" s="255">
        <f>FedSumYR1!I16+FedSumYR2!I16+FedSumYR3!I16+FedSumYR4!I16+FedSumYR5!I16</f>
        <v>0</v>
      </c>
      <c r="J16" s="256"/>
      <c r="K16" s="257">
        <f>ROUND(E16+G16+I16,0)</f>
        <v>0</v>
      </c>
      <c r="M16" s="237">
        <f>ROUND('YEAR 5'!AP103,0)</f>
        <v>0</v>
      </c>
    </row>
    <row r="17" spans="2:14" ht="4.5" customHeight="1" thickBot="1" x14ac:dyDescent="0.35">
      <c r="B17" s="244"/>
      <c r="C17" s="244"/>
      <c r="D17" s="244"/>
      <c r="E17" s="256"/>
      <c r="F17" s="256"/>
      <c r="G17" s="256"/>
      <c r="H17" s="256"/>
      <c r="I17" s="256"/>
      <c r="J17" s="256"/>
      <c r="K17" s="258"/>
    </row>
    <row r="18" spans="2:14" ht="15" customHeight="1" thickBot="1" x14ac:dyDescent="0.35">
      <c r="B18" s="246" t="s">
        <v>670</v>
      </c>
      <c r="C18" s="247" t="s">
        <v>671</v>
      </c>
      <c r="D18" s="247"/>
      <c r="E18" s="255">
        <f>FedSumYR1!E18+FedSumYR2!E18+FedSumYR3!E18+FedSumYR4!E18+FedSumYR5!E18</f>
        <v>0</v>
      </c>
      <c r="F18" s="256"/>
      <c r="G18" s="255">
        <f>FedSumYR1!G18+FedSumYR2!G18+FedSumYR3!G18+FedSumYR4!G18+FedSumYR5!G18</f>
        <v>0</v>
      </c>
      <c r="H18" s="256"/>
      <c r="I18" s="255">
        <f>FedSumYR1!I18+FedSumYR2!I18+FedSumYR3!I18+FedSumYR4!I18+FedSumYR5!I18</f>
        <v>0</v>
      </c>
      <c r="J18" s="256"/>
      <c r="K18" s="257">
        <f>ROUND(E18+G18+I18,0)</f>
        <v>0</v>
      </c>
      <c r="M18" s="237">
        <f>ROUND('YEAR 5'!AP76,0)</f>
        <v>0</v>
      </c>
    </row>
    <row r="19" spans="2:14" ht="4.5" customHeight="1" thickBot="1" x14ac:dyDescent="0.35">
      <c r="B19" s="244"/>
      <c r="C19" s="244"/>
      <c r="D19" s="244"/>
      <c r="E19" s="256"/>
      <c r="F19" s="256"/>
      <c r="G19" s="256"/>
      <c r="H19" s="256"/>
      <c r="I19" s="256"/>
      <c r="J19" s="256"/>
      <c r="K19" s="258"/>
    </row>
    <row r="20" spans="2:14" ht="15" customHeight="1" thickBot="1" x14ac:dyDescent="0.35">
      <c r="B20" s="246" t="s">
        <v>672</v>
      </c>
      <c r="C20" s="247" t="s">
        <v>673</v>
      </c>
      <c r="D20" s="247"/>
      <c r="E20" s="255">
        <f>FedSumYR1!E20+FedSumYR2!E20+FedSumYR3!E20+FedSumYR4!E20+FedSumYR5!E20</f>
        <v>0</v>
      </c>
      <c r="F20" s="256"/>
      <c r="G20" s="255">
        <f>FedSumYR1!G20+FedSumYR2!G20+FedSumYR3!G20+FedSumYR4!G20+FedSumYR5!G20</f>
        <v>0</v>
      </c>
      <c r="H20" s="256"/>
      <c r="I20" s="255">
        <f>FedSumYR1!I20+FedSumYR2!I20+FedSumYR3!I20+FedSumYR4!I20+FedSumYR5!I20</f>
        <v>0</v>
      </c>
      <c r="J20" s="256"/>
      <c r="K20" s="257">
        <f>ROUND(E20+G20+I20,0)</f>
        <v>0</v>
      </c>
    </row>
    <row r="21" spans="2:14" ht="4.5" customHeight="1" thickBot="1" x14ac:dyDescent="0.35">
      <c r="B21" s="244"/>
      <c r="C21" s="244"/>
      <c r="D21" s="244"/>
      <c r="E21" s="256"/>
      <c r="F21" s="256"/>
      <c r="G21" s="256"/>
      <c r="H21" s="256"/>
      <c r="I21" s="256"/>
      <c r="J21" s="256"/>
      <c r="K21" s="258"/>
    </row>
    <row r="22" spans="2:14" ht="15" customHeight="1" thickBot="1" x14ac:dyDescent="0.35">
      <c r="B22" s="246" t="s">
        <v>674</v>
      </c>
      <c r="C22" s="247" t="s">
        <v>675</v>
      </c>
      <c r="D22" s="247"/>
      <c r="E22" s="255">
        <f>FedSumYR1!E22+FedSumYR2!E22+FedSumYR3!E22+FedSumYR4!E22+FedSumYR5!E22</f>
        <v>0</v>
      </c>
      <c r="F22" s="256"/>
      <c r="G22" s="255">
        <f>FedSumYR1!G22+FedSumYR2!G22+FedSumYR3!G22+FedSumYR4!G22+FedSumYR5!G22</f>
        <v>0</v>
      </c>
      <c r="H22" s="256"/>
      <c r="I22" s="255">
        <f>FedSumYR1!I22+FedSumYR2!I22+FedSumYR3!I22+FedSumYR4!I22+FedSumYR5!I22</f>
        <v>0</v>
      </c>
      <c r="J22" s="256"/>
      <c r="K22" s="257">
        <f>ROUND(E22+G22+I22,0)</f>
        <v>0</v>
      </c>
    </row>
    <row r="23" spans="2:14" ht="4.5" customHeight="1" thickBot="1" x14ac:dyDescent="0.35">
      <c r="E23" s="256"/>
      <c r="F23" s="256"/>
      <c r="G23" s="256"/>
      <c r="H23" s="256"/>
      <c r="I23" s="256"/>
      <c r="J23" s="256"/>
      <c r="K23" s="258"/>
    </row>
    <row r="24" spans="2:14" ht="14.4" thickBot="1" x14ac:dyDescent="0.35">
      <c r="B24" s="246" t="s">
        <v>676</v>
      </c>
      <c r="C24" s="247" t="s">
        <v>677</v>
      </c>
      <c r="D24" s="247"/>
      <c r="E24" s="255">
        <f>FedSumYR1!E24+FedSumYR2!E24+FedSumYR3!E24+FedSumYR4!E24+FedSumYR5!E24</f>
        <v>0</v>
      </c>
      <c r="F24" s="256"/>
      <c r="G24" s="255">
        <f>FedSumYR1!G24+FedSumYR2!G24+FedSumYR3!G24+FedSumYR4!G24+FedSumYR5!G24</f>
        <v>0</v>
      </c>
      <c r="H24" s="256"/>
      <c r="I24" s="255">
        <f>FedSumYR1!I24+FedSumYR2!I24+FedSumYR3!I24+FedSumYR4!I24+FedSumYR5!I24</f>
        <v>0</v>
      </c>
      <c r="J24" s="256"/>
      <c r="K24" s="257">
        <f>ROUND(E24+G24+I24,0)</f>
        <v>0</v>
      </c>
    </row>
    <row r="25" spans="2:14" ht="4.5" customHeight="1" thickBot="1" x14ac:dyDescent="0.35">
      <c r="B25" s="244"/>
      <c r="E25" s="256"/>
      <c r="F25" s="256"/>
      <c r="G25" s="256"/>
      <c r="H25" s="256"/>
      <c r="I25" s="256"/>
      <c r="J25" s="256"/>
      <c r="K25" s="258"/>
    </row>
    <row r="26" spans="2:14" ht="14.4" thickBot="1" x14ac:dyDescent="0.35">
      <c r="B26" s="246" t="s">
        <v>678</v>
      </c>
      <c r="C26" s="247" t="s">
        <v>679</v>
      </c>
      <c r="D26" s="247"/>
      <c r="E26" s="255">
        <f>FedSumYR1!E26+FedSumYR2!E26+FedSumYR3!E26+FedSumYR4!E26+FedSumYR5!E26</f>
        <v>0</v>
      </c>
      <c r="F26" s="256"/>
      <c r="G26" s="255">
        <f>FedSumYR1!G26+FedSumYR2!G26+FedSumYR3!G26+FedSumYR4!G26+FedSumYR5!G26</f>
        <v>0</v>
      </c>
      <c r="H26" s="256"/>
      <c r="I26" s="255">
        <f>FedSumYR1!I26+FedSumYR2!I26+FedSumYR3!I26+FedSumYR4!I26+FedSumYR5!I26</f>
        <v>0</v>
      </c>
      <c r="J26" s="256"/>
      <c r="K26" s="257">
        <f>ROUND(E26+G26+I26,0)</f>
        <v>0</v>
      </c>
    </row>
    <row r="27" spans="2:14" ht="4.5" customHeight="1" thickBot="1" x14ac:dyDescent="0.35">
      <c r="B27" s="244"/>
      <c r="E27" s="256"/>
      <c r="F27" s="256"/>
      <c r="G27" s="256"/>
      <c r="H27" s="256"/>
      <c r="I27" s="256"/>
      <c r="J27" s="256"/>
      <c r="K27" s="258"/>
    </row>
    <row r="28" spans="2:14" ht="14.4" thickBot="1" x14ac:dyDescent="0.35">
      <c r="B28" s="246" t="s">
        <v>680</v>
      </c>
      <c r="C28" s="247" t="s">
        <v>681</v>
      </c>
      <c r="D28" s="247"/>
      <c r="E28" s="255" t="e">
        <f>FedSumYR1!E28+FedSumYR2!E28+FedSumYR3!E28+FedSumYR4!E28+FedSumYR5!E28</f>
        <v>#REF!</v>
      </c>
      <c r="F28" s="256"/>
      <c r="G28" s="255" t="e">
        <f>FedSumYR1!G28+FedSumYR2!G28+FedSumYR3!G28+FedSumYR4!G28+FedSumYR5!G28</f>
        <v>#REF!</v>
      </c>
      <c r="H28" s="256"/>
      <c r="I28" s="255">
        <f>FedSumYR1!I28+FedSumYR2!I28+FedSumYR3!I28+FedSumYR4!I28+FedSumYR5!I28</f>
        <v>0</v>
      </c>
      <c r="J28" s="256"/>
      <c r="K28" s="257" t="e">
        <f>ROUND(E28+G28+I28,0)</f>
        <v>#REF!</v>
      </c>
      <c r="M28" s="250" t="e">
        <f>ROUND(SUM(K12:K26),0)</f>
        <v>#REF!</v>
      </c>
      <c r="N28" s="237" t="e">
        <f>IF(M28&lt;&gt;K28,1,0)</f>
        <v>#REF!</v>
      </c>
    </row>
    <row r="29" spans="2:14" ht="4.5" customHeight="1" thickBot="1" x14ac:dyDescent="0.35">
      <c r="B29" s="244"/>
      <c r="E29" s="256"/>
      <c r="F29" s="256"/>
      <c r="G29" s="256"/>
      <c r="H29" s="256"/>
      <c r="I29" s="256"/>
      <c r="J29" s="256"/>
      <c r="K29" s="258"/>
    </row>
    <row r="30" spans="2:14" ht="14.4" thickBot="1" x14ac:dyDescent="0.35">
      <c r="B30" s="246" t="s">
        <v>682</v>
      </c>
      <c r="C30" s="247" t="s">
        <v>683</v>
      </c>
      <c r="D30" s="247"/>
      <c r="E30" s="255">
        <f>FedSumYR1!E30+FedSumYR2!E30+FedSumYR3!E30+FedSumYR4!E30+FedSumYR5!E30</f>
        <v>0</v>
      </c>
      <c r="F30" s="256"/>
      <c r="G30" s="255">
        <f>FedSumYR1!G30+FedSumYR2!G30+FedSumYR3!G30+FedSumYR4!G30+FedSumYR5!G30</f>
        <v>0</v>
      </c>
      <c r="H30" s="256"/>
      <c r="I30" s="255">
        <f>FedSumYR1!I30+FedSumYR2!I30+FedSumYR3!I30+FedSumYR4!I30+FedSumYR5!I30</f>
        <v>0</v>
      </c>
      <c r="J30" s="256"/>
      <c r="K30" s="257">
        <f>ROUND(E30+G30+I30,0)</f>
        <v>0</v>
      </c>
    </row>
    <row r="31" spans="2:14" ht="5.25" customHeight="1" x14ac:dyDescent="0.3">
      <c r="B31" s="246"/>
      <c r="C31" s="247"/>
      <c r="D31" s="247"/>
      <c r="E31" s="256"/>
      <c r="F31" s="256"/>
      <c r="G31" s="256"/>
      <c r="H31" s="256"/>
      <c r="I31" s="256"/>
      <c r="J31" s="256"/>
      <c r="K31" s="258"/>
    </row>
    <row r="32" spans="2:14" x14ac:dyDescent="0.3">
      <c r="B32" s="244"/>
      <c r="C32" s="251" t="s">
        <v>684</v>
      </c>
      <c r="E32" s="259"/>
      <c r="F32" s="259"/>
      <c r="G32" s="259"/>
      <c r="H32" s="259"/>
      <c r="I32" s="259"/>
      <c r="J32" s="259"/>
      <c r="K32" s="258"/>
    </row>
    <row r="33" spans="2:11" x14ac:dyDescent="0.3">
      <c r="B33" s="244"/>
      <c r="D33" s="237" t="s">
        <v>685</v>
      </c>
      <c r="E33" s="260">
        <f>FedSumYR1!E33+FedSumYR2!E33+FedSumYR3!E33+FedSumYR4!E33+FedSumYR5!E33</f>
        <v>0</v>
      </c>
      <c r="F33" s="259"/>
      <c r="G33" s="260">
        <f>FedSumYR1!G33+FedSumYR2!G33+FedSumYR3!G33+FedSumYR4!G33+FedSumYR5!G33</f>
        <v>0</v>
      </c>
      <c r="H33" s="259"/>
      <c r="I33" s="256">
        <f>FedSumYR1!I33+FedSumYR2!I33+FedSumYR3!I33+FedSumYR4!I33+FedSumYR5!I33</f>
        <v>0</v>
      </c>
      <c r="J33" s="259"/>
      <c r="K33" s="258"/>
    </row>
    <row r="34" spans="2:11" x14ac:dyDescent="0.3">
      <c r="B34" s="244"/>
      <c r="D34" s="237" t="s">
        <v>686</v>
      </c>
      <c r="E34" s="261">
        <f>FedSumYR1!E34+FedSumYR2!E34+FedSumYR3!E34+FedSumYR4!E34+FedSumYR5!E34</f>
        <v>0</v>
      </c>
      <c r="F34" s="259"/>
      <c r="G34" s="261">
        <f>FedSumYR1!G34+FedSumYR2!G34+FedSumYR3!G34+FedSumYR4!G34+FedSumYR5!G34</f>
        <v>0</v>
      </c>
      <c r="H34" s="259"/>
      <c r="I34" s="262">
        <f>FedSumYR1!I34+FedSumYR2!I34+FedSumYR3!I34+FedSumYR4!I34+FedSumYR5!I34</f>
        <v>0</v>
      </c>
      <c r="J34" s="259"/>
      <c r="K34" s="258"/>
    </row>
    <row r="35" spans="2:11" ht="4.5" customHeight="1" x14ac:dyDescent="0.3">
      <c r="B35" s="244"/>
      <c r="E35" s="259"/>
      <c r="F35" s="259"/>
      <c r="G35" s="259"/>
      <c r="H35" s="259"/>
      <c r="I35" s="256"/>
      <c r="J35" s="259"/>
      <c r="K35" s="258"/>
    </row>
    <row r="36" spans="2:11" x14ac:dyDescent="0.3">
      <c r="B36" s="244"/>
      <c r="C36" s="237" t="s">
        <v>687</v>
      </c>
      <c r="E36" s="260">
        <f>FedSumYR1!E36+FedSumYR2!E36+FedSumYR3!E36+FedSumYR4!E36+FedSumYR5!E36</f>
        <v>0</v>
      </c>
      <c r="F36" s="259"/>
      <c r="G36" s="260">
        <f>FedSumYR1!G36+FedSumYR2!G36+FedSumYR3!G36+FedSumYR4!G36+FedSumYR5!G36</f>
        <v>0</v>
      </c>
      <c r="H36" s="259"/>
      <c r="I36" s="256">
        <f>FedSumYR1!I36+FedSumYR2!I36+FedSumYR3!I36+FedSumYR4!I36+FedSumYR5!I36</f>
        <v>0</v>
      </c>
      <c r="J36" s="259"/>
      <c r="K36" s="258"/>
    </row>
    <row r="37" spans="2:11" ht="4.5" customHeight="1" x14ac:dyDescent="0.3">
      <c r="B37" s="244"/>
      <c r="E37" s="259"/>
      <c r="F37" s="259"/>
      <c r="G37" s="259"/>
      <c r="H37" s="259"/>
      <c r="I37" s="256"/>
      <c r="J37" s="259"/>
      <c r="K37" s="258"/>
    </row>
    <row r="38" spans="2:11" x14ac:dyDescent="0.3">
      <c r="B38" s="244"/>
      <c r="D38" s="237" t="str">
        <f>'YEAR 5'!C245</f>
        <v>SDSM&amp;T  Indirect  @ 42.0%</v>
      </c>
      <c r="E38" s="260">
        <f>FedSumYR1!E38+FedSumYR2!E38+FedSumYR3!E38+FedSumYR4!E38+FedSumYR5!E38</f>
        <v>0</v>
      </c>
      <c r="F38" s="263"/>
      <c r="G38" s="260">
        <f>FedSumYR1!G38+FedSumYR2!G38+FedSumYR3!G38+FedSumYR4!G38+FedSumYR5!G38</f>
        <v>0</v>
      </c>
      <c r="H38" s="263"/>
      <c r="I38" s="256">
        <f>FedSumYR1!I38+FedSumYR2!I38+FedSumYR3!I38+FedSumYR4!I38+FedSumYR5!I38</f>
        <v>0</v>
      </c>
      <c r="J38" s="263"/>
      <c r="K38" s="258"/>
    </row>
    <row r="39" spans="2:11" ht="3.75" customHeight="1" x14ac:dyDescent="0.3">
      <c r="B39" s="244"/>
      <c r="E39" s="259"/>
      <c r="F39" s="259"/>
      <c r="G39" s="259"/>
      <c r="H39" s="259"/>
      <c r="I39" s="256"/>
      <c r="J39" s="259"/>
      <c r="K39" s="258"/>
    </row>
    <row r="40" spans="2:11" x14ac:dyDescent="0.3">
      <c r="B40" s="244"/>
      <c r="D40" s="237" t="str">
        <f>'YEAR 5'!D247</f>
        <v>SDSM&amp;T Unrecovered Indirect @ 0.0%</v>
      </c>
      <c r="E40" s="261">
        <f>FedSumYR1!E40+FedSumYR2!E40+FedSumYR3!E40+FedSumYR4!E40+FedSumYR5!E40</f>
        <v>0</v>
      </c>
      <c r="F40" s="263">
        <f>FedSumYR1!F40+FedSumYR2!F40+FedSumYR3!F40+FedSumYR4!F40+FedSumYR5!F40</f>
        <v>0</v>
      </c>
      <c r="G40" s="261">
        <f>FedSumYR1!G40+FedSumYR2!G40+FedSumYR3!G40+FedSumYR4!G40+FedSumYR5!G40</f>
        <v>0</v>
      </c>
      <c r="H40" s="263"/>
      <c r="I40" s="262">
        <f>FedSumYR1!I40+FedSumYR2!I40+FedSumYR3!I40+FedSumYR4!I40+FedSumYR5!I40</f>
        <v>0</v>
      </c>
      <c r="J40" s="263"/>
      <c r="K40" s="258"/>
    </row>
    <row r="41" spans="2:11" ht="3.75" customHeight="1" x14ac:dyDescent="0.3">
      <c r="B41" s="244"/>
      <c r="E41" s="259"/>
      <c r="F41" s="259"/>
      <c r="G41" s="259"/>
      <c r="H41" s="259"/>
      <c r="I41" s="256"/>
      <c r="J41" s="259"/>
      <c r="K41" s="258"/>
    </row>
    <row r="42" spans="2:11" x14ac:dyDescent="0.3">
      <c r="B42" s="244"/>
      <c r="D42" s="237" t="str">
        <f>'YEAR 5'!C249</f>
        <v>SDSM&amp;T Indirect Recovered @ 42.0%</v>
      </c>
      <c r="E42" s="260">
        <f>FedSumYR1!E42+FedSumYR2!E42+FedSumYR3!E42+FedSumYR4!E42+FedSumYR5!E42</f>
        <v>0</v>
      </c>
      <c r="F42" s="263"/>
      <c r="G42" s="260">
        <f>FedSumYR1!G42+FedSumYR2!G42+FedSumYR3!G42+FedSumYR4!G42+FedSumYR5!G42</f>
        <v>0</v>
      </c>
      <c r="H42" s="263"/>
      <c r="I42" s="256">
        <f>FedSumYR1!I42+FedSumYR2!I42+FedSumYR3!I42+FedSumYR4!I42+FedSumYR5!I42</f>
        <v>0</v>
      </c>
      <c r="J42" s="263"/>
      <c r="K42" s="258"/>
    </row>
    <row r="43" spans="2:11" ht="4.5" customHeight="1" thickBot="1" x14ac:dyDescent="0.35">
      <c r="B43" s="244"/>
      <c r="E43" s="259"/>
      <c r="F43" s="259"/>
      <c r="G43" s="259"/>
      <c r="H43" s="259"/>
      <c r="I43" s="259"/>
      <c r="J43" s="259"/>
      <c r="K43" s="258"/>
    </row>
    <row r="44" spans="2:11" ht="14.4" thickBot="1" x14ac:dyDescent="0.35">
      <c r="B44" s="246" t="s">
        <v>688</v>
      </c>
      <c r="C44" s="247" t="s">
        <v>689</v>
      </c>
      <c r="D44" s="247"/>
      <c r="E44" s="257" t="e">
        <f>FedSumYR1!E44+FedSumYR2!E44+FedSumYR3!E44+FedSumYR4!E44+FedSumYR5!E44</f>
        <v>#REF!</v>
      </c>
      <c r="F44" s="258"/>
      <c r="G44" s="257" t="e">
        <f>FedSumYR1!G44+FedSumYR2!G44+FedSumYR3!G44+FedSumYR4!G44+FedSumYR5!G44</f>
        <v>#REF!</v>
      </c>
      <c r="H44" s="258"/>
      <c r="I44" s="257">
        <f>FedSumYR1!I44+FedSumYR2!I44+FedSumYR3!I44+FedSumYR4!I44+FedSumYR5!I44</f>
        <v>0</v>
      </c>
      <c r="J44" s="258"/>
      <c r="K44" s="257" t="e">
        <f>ROUND(E44+G44+I44,0)</f>
        <v>#REF!</v>
      </c>
    </row>
    <row r="46" spans="2:11" x14ac:dyDescent="0.3">
      <c r="B46" s="252" t="s">
        <v>690</v>
      </c>
      <c r="C46" s="237" t="s">
        <v>691</v>
      </c>
    </row>
    <row r="55" spans="1:15" s="253" customFormat="1" x14ac:dyDescent="0.3">
      <c r="A55" s="253" t="s">
        <v>692</v>
      </c>
      <c r="E55" s="254"/>
      <c r="F55" s="254"/>
      <c r="G55" s="254"/>
      <c r="H55" s="254"/>
      <c r="I55" s="254"/>
      <c r="J55" s="254"/>
      <c r="K55" s="254"/>
      <c r="L55" s="253" t="s">
        <v>839</v>
      </c>
    </row>
    <row r="57" spans="1:15" x14ac:dyDescent="0.3">
      <c r="A57" s="252" t="s">
        <v>694</v>
      </c>
      <c r="B57" s="237" t="s">
        <v>695</v>
      </c>
      <c r="L57" s="237" t="s">
        <v>694</v>
      </c>
      <c r="M57" s="237" t="s">
        <v>695</v>
      </c>
      <c r="O57" s="237" t="s">
        <v>696</v>
      </c>
    </row>
    <row r="58" spans="1:15" x14ac:dyDescent="0.3">
      <c r="A58" s="252" t="s">
        <v>697</v>
      </c>
      <c r="B58" s="237" t="s">
        <v>698</v>
      </c>
      <c r="L58" s="237" t="s">
        <v>697</v>
      </c>
      <c r="M58" s="237" t="s">
        <v>698</v>
      </c>
      <c r="O58" s="237" t="s">
        <v>696</v>
      </c>
    </row>
    <row r="59" spans="1:15" x14ac:dyDescent="0.3">
      <c r="A59" s="252"/>
      <c r="B59" s="237">
        <v>1</v>
      </c>
      <c r="C59" s="237" t="s">
        <v>699</v>
      </c>
      <c r="L59" s="237" t="s">
        <v>700</v>
      </c>
      <c r="M59" s="237" t="s">
        <v>671</v>
      </c>
    </row>
    <row r="60" spans="1:15" x14ac:dyDescent="0.3">
      <c r="A60" s="252"/>
      <c r="B60" s="237">
        <v>2</v>
      </c>
      <c r="C60" s="237" t="s">
        <v>701</v>
      </c>
      <c r="L60" s="237" t="s">
        <v>702</v>
      </c>
      <c r="M60" s="237" t="s">
        <v>703</v>
      </c>
    </row>
    <row r="61" spans="1:15" x14ac:dyDescent="0.3">
      <c r="A61" s="252"/>
      <c r="B61" s="237">
        <v>3</v>
      </c>
      <c r="C61" s="237" t="s">
        <v>704</v>
      </c>
      <c r="L61" s="237">
        <v>1</v>
      </c>
      <c r="M61" s="237" t="s">
        <v>705</v>
      </c>
    </row>
    <row r="62" spans="1:15" x14ac:dyDescent="0.3">
      <c r="A62" s="252"/>
      <c r="B62" s="237">
        <v>4</v>
      </c>
      <c r="C62" s="237" t="s">
        <v>706</v>
      </c>
      <c r="L62" s="237">
        <v>2</v>
      </c>
      <c r="M62" s="237" t="s">
        <v>707</v>
      </c>
    </row>
    <row r="63" spans="1:15" x14ac:dyDescent="0.3">
      <c r="A63" s="252"/>
      <c r="B63" s="237">
        <v>5</v>
      </c>
      <c r="C63" s="237" t="s">
        <v>708</v>
      </c>
      <c r="L63" s="237" t="s">
        <v>709</v>
      </c>
      <c r="M63" s="237" t="s">
        <v>710</v>
      </c>
    </row>
    <row r="64" spans="1:15" x14ac:dyDescent="0.3">
      <c r="A64" s="252"/>
      <c r="B64" s="237">
        <v>6</v>
      </c>
      <c r="C64" s="237" t="s">
        <v>679</v>
      </c>
      <c r="L64" s="237">
        <v>1</v>
      </c>
      <c r="M64" s="237" t="s">
        <v>711</v>
      </c>
    </row>
    <row r="65" spans="1:13" x14ac:dyDescent="0.3">
      <c r="A65" s="252" t="s">
        <v>700</v>
      </c>
      <c r="B65" s="237" t="s">
        <v>712</v>
      </c>
      <c r="L65" s="237">
        <v>2</v>
      </c>
      <c r="M65" s="237" t="s">
        <v>713</v>
      </c>
    </row>
    <row r="66" spans="1:13" x14ac:dyDescent="0.3">
      <c r="A66" s="252" t="s">
        <v>702</v>
      </c>
      <c r="B66" s="237" t="s">
        <v>671</v>
      </c>
      <c r="L66" s="237">
        <v>3</v>
      </c>
      <c r="M66" s="237" t="s">
        <v>703</v>
      </c>
    </row>
    <row r="67" spans="1:13" x14ac:dyDescent="0.3">
      <c r="A67" s="252" t="s">
        <v>709</v>
      </c>
      <c r="B67" s="237" t="s">
        <v>703</v>
      </c>
      <c r="L67" s="237">
        <v>4</v>
      </c>
      <c r="M67" s="237" t="s">
        <v>714</v>
      </c>
    </row>
    <row r="68" spans="1:13" x14ac:dyDescent="0.3">
      <c r="A68" s="252"/>
      <c r="B68" s="237">
        <v>1</v>
      </c>
      <c r="C68" s="237" t="s">
        <v>715</v>
      </c>
      <c r="L68" s="237">
        <v>5</v>
      </c>
      <c r="M68" s="237" t="s">
        <v>679</v>
      </c>
    </row>
    <row r="69" spans="1:13" x14ac:dyDescent="0.3">
      <c r="A69" s="252"/>
      <c r="B69" s="237">
        <v>2</v>
      </c>
      <c r="C69" s="237" t="s">
        <v>716</v>
      </c>
      <c r="L69" s="237" t="s">
        <v>717</v>
      </c>
      <c r="M69" s="237" t="s">
        <v>718</v>
      </c>
    </row>
    <row r="70" spans="1:13" x14ac:dyDescent="0.3">
      <c r="A70" s="252" t="s">
        <v>717</v>
      </c>
      <c r="B70" s="237" t="s">
        <v>719</v>
      </c>
      <c r="L70" s="237">
        <v>1</v>
      </c>
      <c r="M70" s="237" t="s">
        <v>720</v>
      </c>
    </row>
    <row r="71" spans="1:13" x14ac:dyDescent="0.3">
      <c r="A71" s="252"/>
      <c r="B71" s="237">
        <v>1</v>
      </c>
      <c r="C71" s="237" t="s">
        <v>713</v>
      </c>
      <c r="L71" s="237">
        <v>2</v>
      </c>
      <c r="M71" s="237" t="s">
        <v>721</v>
      </c>
    </row>
    <row r="72" spans="1:13" x14ac:dyDescent="0.3">
      <c r="A72" s="252"/>
      <c r="B72" s="237">
        <v>2</v>
      </c>
      <c r="C72" s="237" t="s">
        <v>703</v>
      </c>
      <c r="L72" s="237">
        <v>3</v>
      </c>
      <c r="M72" s="237" t="s">
        <v>722</v>
      </c>
    </row>
    <row r="73" spans="1:13" x14ac:dyDescent="0.3">
      <c r="A73" s="252"/>
      <c r="B73" s="237">
        <v>3</v>
      </c>
      <c r="C73" s="237" t="s">
        <v>714</v>
      </c>
      <c r="L73" s="237">
        <v>4</v>
      </c>
      <c r="M73" s="237" t="s">
        <v>723</v>
      </c>
    </row>
    <row r="74" spans="1:13" x14ac:dyDescent="0.3">
      <c r="A74" s="252"/>
      <c r="B74" s="237">
        <v>4</v>
      </c>
      <c r="C74" s="237" t="s">
        <v>679</v>
      </c>
      <c r="L74" s="237">
        <v>5</v>
      </c>
      <c r="M74" s="237" t="s">
        <v>724</v>
      </c>
    </row>
    <row r="75" spans="1:13" x14ac:dyDescent="0.3">
      <c r="A75" s="252" t="s">
        <v>725</v>
      </c>
      <c r="B75" s="237" t="s">
        <v>718</v>
      </c>
      <c r="L75" s="237">
        <v>6</v>
      </c>
      <c r="M75" s="237" t="s">
        <v>726</v>
      </c>
    </row>
    <row r="76" spans="1:13" x14ac:dyDescent="0.3">
      <c r="A76" s="252"/>
      <c r="B76" s="237">
        <v>1</v>
      </c>
      <c r="C76" s="237" t="s">
        <v>720</v>
      </c>
      <c r="L76" s="237">
        <v>7</v>
      </c>
      <c r="M76" s="237" t="s">
        <v>727</v>
      </c>
    </row>
    <row r="77" spans="1:13" x14ac:dyDescent="0.3">
      <c r="A77" s="252"/>
      <c r="B77" s="237">
        <v>2</v>
      </c>
      <c r="C77" s="237" t="s">
        <v>728</v>
      </c>
      <c r="L77" s="237">
        <v>8</v>
      </c>
      <c r="M77" s="237" t="s">
        <v>679</v>
      </c>
    </row>
    <row r="78" spans="1:13" x14ac:dyDescent="0.3">
      <c r="A78" s="252"/>
      <c r="B78" s="237">
        <v>3</v>
      </c>
      <c r="C78" s="237" t="s">
        <v>722</v>
      </c>
      <c r="L78" s="237" t="s">
        <v>725</v>
      </c>
      <c r="M78" s="237" t="s">
        <v>729</v>
      </c>
    </row>
    <row r="79" spans="1:13" x14ac:dyDescent="0.3">
      <c r="A79" s="252"/>
      <c r="B79" s="237">
        <v>4</v>
      </c>
      <c r="C79" s="237" t="s">
        <v>730</v>
      </c>
      <c r="L79" s="237" t="s">
        <v>731</v>
      </c>
      <c r="M79" s="237" t="s">
        <v>683</v>
      </c>
    </row>
    <row r="80" spans="1:13" x14ac:dyDescent="0.3">
      <c r="A80" s="252"/>
      <c r="B80" s="237">
        <v>5</v>
      </c>
      <c r="C80" s="237" t="s">
        <v>732</v>
      </c>
      <c r="L80" s="237" t="s">
        <v>733</v>
      </c>
      <c r="M80" s="237" t="s">
        <v>734</v>
      </c>
    </row>
    <row r="81" spans="1:13" x14ac:dyDescent="0.3">
      <c r="A81" s="252"/>
      <c r="B81" s="237">
        <v>6</v>
      </c>
      <c r="C81" s="237" t="s">
        <v>679</v>
      </c>
      <c r="L81" s="237" t="s">
        <v>735</v>
      </c>
      <c r="M81" s="237" t="s">
        <v>736</v>
      </c>
    </row>
    <row r="82" spans="1:13" x14ac:dyDescent="0.3">
      <c r="A82" s="252" t="s">
        <v>731</v>
      </c>
      <c r="B82" s="237" t="s">
        <v>685</v>
      </c>
      <c r="L82" s="237" t="s">
        <v>737</v>
      </c>
      <c r="M82" s="237" t="s">
        <v>738</v>
      </c>
    </row>
    <row r="83" spans="1:13" x14ac:dyDescent="0.3">
      <c r="A83" s="252" t="s">
        <v>733</v>
      </c>
      <c r="B83" s="237" t="s">
        <v>683</v>
      </c>
    </row>
    <row r="84" spans="1:13" x14ac:dyDescent="0.3">
      <c r="A84" s="252" t="s">
        <v>739</v>
      </c>
      <c r="B84" s="237" t="s">
        <v>740</v>
      </c>
    </row>
    <row r="85" spans="1:13" x14ac:dyDescent="0.3">
      <c r="A85" s="252" t="s">
        <v>737</v>
      </c>
      <c r="B85" s="237" t="s">
        <v>741</v>
      </c>
    </row>
    <row r="86" spans="1:13" x14ac:dyDescent="0.3">
      <c r="A86" s="252" t="s">
        <v>742</v>
      </c>
      <c r="B86" s="237" t="s">
        <v>743</v>
      </c>
    </row>
    <row r="87" spans="1:13" x14ac:dyDescent="0.3">
      <c r="A87" s="252" t="s">
        <v>744</v>
      </c>
      <c r="B87" s="237" t="s">
        <v>745</v>
      </c>
    </row>
  </sheetData>
  <mergeCells count="8">
    <mergeCell ref="B8:K8"/>
    <mergeCell ref="E9:K9"/>
    <mergeCell ref="C1:L1"/>
    <mergeCell ref="C2:L2"/>
    <mergeCell ref="C3:K3"/>
    <mergeCell ref="B5:K5"/>
    <mergeCell ref="B6:K6"/>
    <mergeCell ref="B7:K7"/>
  </mergeCells>
  <conditionalFormatting sqref="M28">
    <cfRule type="expression" dxfId="5"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2:AQ266"/>
  <sheetViews>
    <sheetView zoomScaleNormal="100" workbookViewId="0">
      <selection activeCell="C4" sqref="C4"/>
    </sheetView>
  </sheetViews>
  <sheetFormatPr defaultColWidth="11" defaultRowHeight="13.8" x14ac:dyDescent="0.3"/>
  <cols>
    <col min="1" max="1" width="2.6640625" style="106" bestFit="1" customWidth="1"/>
    <col min="2" max="2" width="3.77734375" style="106" customWidth="1"/>
    <col min="3" max="3" width="7.33203125" style="106" customWidth="1"/>
    <col min="4" max="4" width="29.44140625" style="106" customWidth="1"/>
    <col min="5" max="5" width="0.88671875" style="106" customWidth="1"/>
    <col min="6" max="6" width="3.33203125" style="180" customWidth="1"/>
    <col min="7" max="7" width="7.88671875" style="180" customWidth="1"/>
    <col min="8" max="8" width="1.6640625" style="180" customWidth="1"/>
    <col min="9" max="9" width="3.33203125" style="180" customWidth="1"/>
    <col min="10" max="10" width="7.88671875" style="180" customWidth="1"/>
    <col min="11" max="11" width="1.6640625" style="180" customWidth="1"/>
    <col min="12" max="12" width="3.33203125" style="180" customWidth="1"/>
    <col min="13" max="13" width="7.88671875" style="180" customWidth="1"/>
    <col min="14" max="14" width="1.6640625" style="180" customWidth="1"/>
    <col min="15" max="15" width="3.33203125" style="180" customWidth="1"/>
    <col min="16" max="16" width="7.88671875" style="180" customWidth="1"/>
    <col min="17" max="17" width="1.6640625" style="180" customWidth="1"/>
    <col min="18" max="18" width="3.6640625" style="180" customWidth="1"/>
    <col min="19" max="19" width="7.88671875" style="180" customWidth="1"/>
    <col min="20" max="20" width="1.6640625" style="180" customWidth="1"/>
    <col min="21" max="21" width="0.77734375" style="180" customWidth="1"/>
    <col min="22" max="22" width="3.33203125" style="278" customWidth="1"/>
    <col min="23" max="23" width="7.88671875" style="278" customWidth="1"/>
    <col min="24" max="24" width="1" style="278" customWidth="1"/>
    <col min="25" max="25" width="1.77734375" style="106" customWidth="1"/>
    <col min="26" max="26" width="11.21875" style="397" customWidth="1"/>
    <col min="27" max="27" width="11" style="396" customWidth="1"/>
    <col min="28" max="44" width="11" style="106" customWidth="1"/>
    <col min="45" max="47" width="11" style="106"/>
    <col min="48" max="48" width="1.6640625" style="106" customWidth="1"/>
    <col min="49" max="60" width="11" style="106" customWidth="1"/>
    <col min="61" max="16384" width="11" style="106"/>
  </cols>
  <sheetData>
    <row r="2" spans="1:27" ht="21" x14ac:dyDescent="0.4">
      <c r="D2" s="745" t="s">
        <v>781</v>
      </c>
      <c r="E2" s="745"/>
      <c r="F2" s="745"/>
      <c r="G2" s="745"/>
      <c r="H2" s="745"/>
      <c r="I2" s="745"/>
      <c r="J2" s="745"/>
      <c r="K2" s="745"/>
      <c r="L2" s="745"/>
      <c r="M2" s="745"/>
      <c r="N2" s="745"/>
      <c r="O2" s="745"/>
      <c r="P2" s="745"/>
      <c r="Q2" s="745"/>
      <c r="R2" s="745"/>
      <c r="S2" s="745"/>
      <c r="T2" s="745"/>
      <c r="U2" s="745"/>
      <c r="V2" s="745"/>
      <c r="W2" s="745"/>
      <c r="X2" s="745"/>
      <c r="Y2" s="745"/>
    </row>
    <row r="3" spans="1:27" hidden="1" x14ac:dyDescent="0.3"/>
    <row r="4" spans="1:27" ht="29.25" customHeight="1" x14ac:dyDescent="0.3">
      <c r="D4" s="749" t="e">
        <f>"     "&amp;Title</f>
        <v>#VALUE!</v>
      </c>
      <c r="E4" s="749"/>
      <c r="F4" s="749"/>
      <c r="G4" s="749"/>
      <c r="H4" s="749"/>
      <c r="I4" s="749"/>
      <c r="J4" s="749"/>
      <c r="K4" s="749"/>
      <c r="L4" s="749"/>
      <c r="M4" s="749"/>
      <c r="N4" s="749"/>
      <c r="O4" s="749"/>
      <c r="P4" s="749"/>
      <c r="Q4" s="749"/>
      <c r="R4" s="749"/>
      <c r="S4" s="749"/>
      <c r="T4" s="749"/>
      <c r="U4" s="749"/>
      <c r="V4" s="749"/>
      <c r="W4" s="749"/>
      <c r="X4" s="749"/>
      <c r="Y4" s="749"/>
    </row>
    <row r="5" spans="1:27" x14ac:dyDescent="0.3">
      <c r="D5" s="751" t="str">
        <f>CONCATENATE("Total Proposal:  ",TEXT(StartDate,"mmmm dd, yyyy")," - ",TEXT(EndDate,"mmmm dd, yyyy"))</f>
        <v>Total Proposal:  January 00, 1900 - January 00, 1900</v>
      </c>
      <c r="E5" s="751"/>
      <c r="F5" s="751"/>
      <c r="G5" s="751"/>
      <c r="H5" s="751"/>
      <c r="I5" s="751"/>
      <c r="J5" s="751"/>
      <c r="K5" s="751"/>
      <c r="L5" s="751"/>
      <c r="M5" s="751"/>
      <c r="N5" s="751"/>
      <c r="O5" s="751"/>
      <c r="P5" s="751"/>
      <c r="Q5" s="751"/>
      <c r="R5" s="751"/>
      <c r="S5" s="751"/>
      <c r="T5" s="751"/>
      <c r="U5" s="751"/>
      <c r="V5" s="751"/>
      <c r="W5" s="751"/>
      <c r="X5" s="751"/>
      <c r="Y5" s="751"/>
    </row>
    <row r="6" spans="1:27" s="467" customFormat="1" ht="3" customHeight="1" thickBot="1" x14ac:dyDescent="0.35">
      <c r="D6" s="468"/>
      <c r="E6" s="468"/>
      <c r="F6" s="469"/>
      <c r="G6" s="469"/>
      <c r="H6" s="469"/>
      <c r="I6" s="469"/>
      <c r="J6" s="469"/>
      <c r="K6" s="469"/>
      <c r="L6" s="469"/>
      <c r="M6" s="469"/>
      <c r="N6" s="469"/>
      <c r="O6" s="469"/>
      <c r="P6" s="469"/>
      <c r="Q6" s="469"/>
      <c r="R6" s="469"/>
      <c r="S6" s="469"/>
      <c r="T6" s="469"/>
      <c r="U6" s="469"/>
      <c r="V6" s="475"/>
      <c r="W6" s="475"/>
      <c r="X6" s="475"/>
      <c r="Z6" s="479"/>
      <c r="AA6" s="480"/>
    </row>
    <row r="7" spans="1:27" ht="3" customHeight="1" x14ac:dyDescent="0.3">
      <c r="B7" s="21"/>
      <c r="C7" s="21"/>
      <c r="D7" s="21"/>
      <c r="E7" s="21"/>
      <c r="F7" s="41"/>
      <c r="H7" s="41"/>
      <c r="I7" s="41"/>
      <c r="K7" s="41"/>
      <c r="L7" s="41"/>
      <c r="N7" s="41"/>
      <c r="O7" s="41"/>
      <c r="Q7" s="41"/>
      <c r="R7" s="41"/>
      <c r="T7" s="41"/>
      <c r="U7" s="399"/>
      <c r="V7" s="400"/>
      <c r="W7" s="401"/>
      <c r="X7" s="402"/>
    </row>
    <row r="8" spans="1:27" ht="72.75" customHeight="1" x14ac:dyDescent="0.3">
      <c r="F8" s="796" t="str">
        <f>'YEAR 1'!D5</f>
        <v>Year One:  January 0, 1900 - December 30, 1900</v>
      </c>
      <c r="G8" s="796"/>
      <c r="H8" s="394"/>
      <c r="I8" s="796" t="str">
        <f>'YEAR 2'!D5</f>
        <v>Year Two:  December 31, 1900 - December 30, 1901</v>
      </c>
      <c r="J8" s="796"/>
      <c r="K8" s="394"/>
      <c r="L8" s="796" t="str">
        <f>'YEAR 3'!D5</f>
        <v>Year Three:  December 31, 1901 - December 30, 1902</v>
      </c>
      <c r="M8" s="796"/>
      <c r="N8" s="394"/>
      <c r="O8" s="796" t="str">
        <f>'YEAR 4'!D5</f>
        <v>Year Four:  December 31, 1902 - December 30, 1903</v>
      </c>
      <c r="P8" s="796"/>
      <c r="Q8" s="394"/>
      <c r="R8" s="796" t="str">
        <f>'YEAR 5'!D5</f>
        <v>Year Five:  December 31, 1903 - December 30, 1904</v>
      </c>
      <c r="S8" s="796"/>
      <c r="T8" s="394"/>
      <c r="U8" s="403"/>
      <c r="V8" s="796" t="str">
        <f>'Grants.Gov Sum'!E5</f>
        <v>Total Proposal:  January 00, 1900 - January 00, 1900</v>
      </c>
      <c r="W8" s="796"/>
      <c r="X8" s="404"/>
    </row>
    <row r="9" spans="1:27" ht="5.25" customHeight="1" x14ac:dyDescent="0.3">
      <c r="F9" s="798"/>
      <c r="G9" s="798"/>
      <c r="I9" s="798"/>
      <c r="J9" s="798"/>
      <c r="L9" s="798"/>
      <c r="M9" s="798"/>
      <c r="O9" s="798"/>
      <c r="P9" s="798"/>
      <c r="R9" s="798"/>
      <c r="S9" s="798"/>
      <c r="U9" s="405"/>
      <c r="V9" s="797"/>
      <c r="W9" s="797"/>
      <c r="X9" s="443"/>
    </row>
    <row r="10" spans="1:27" ht="3" customHeight="1" x14ac:dyDescent="0.3">
      <c r="U10" s="405"/>
      <c r="X10" s="406"/>
    </row>
    <row r="11" spans="1:27" ht="38.25" customHeight="1" x14ac:dyDescent="0.3">
      <c r="D11" s="115"/>
      <c r="E11" s="115"/>
      <c r="F11" s="767" t="s">
        <v>793</v>
      </c>
      <c r="G11" s="767"/>
      <c r="H11" s="281"/>
      <c r="I11" s="767" t="s">
        <v>793</v>
      </c>
      <c r="J11" s="767"/>
      <c r="K11" s="281"/>
      <c r="L11" s="767" t="s">
        <v>793</v>
      </c>
      <c r="M11" s="767"/>
      <c r="N11" s="281"/>
      <c r="O11" s="767" t="s">
        <v>793</v>
      </c>
      <c r="P11" s="767"/>
      <c r="Q11" s="281"/>
      <c r="R11" s="767" t="s">
        <v>793</v>
      </c>
      <c r="S11" s="767"/>
      <c r="T11" s="281"/>
      <c r="U11" s="407"/>
      <c r="V11" s="768" t="s">
        <v>793</v>
      </c>
      <c r="W11" s="768"/>
      <c r="X11" s="408"/>
    </row>
    <row r="12" spans="1:27" x14ac:dyDescent="0.3">
      <c r="A12" s="118" t="s">
        <v>180</v>
      </c>
      <c r="B12" s="109" t="s">
        <v>797</v>
      </c>
      <c r="D12" s="115"/>
      <c r="E12" s="115"/>
      <c r="U12" s="405"/>
      <c r="X12" s="406"/>
    </row>
    <row r="13" spans="1:27" ht="14.25" customHeight="1" x14ac:dyDescent="0.3">
      <c r="B13" s="113"/>
      <c r="C13" s="125" t="str">
        <f>"PI ~ "</f>
        <v xml:space="preserve">PI ~ </v>
      </c>
      <c r="D13" s="106">
        <f>PI</f>
        <v>0</v>
      </c>
      <c r="F13" s="739">
        <f>'YEAR 1'!Q13</f>
        <v>0</v>
      </c>
      <c r="G13" s="739"/>
      <c r="I13" s="739">
        <f>'YEAR 2'!P13</f>
        <v>0</v>
      </c>
      <c r="J13" s="739"/>
      <c r="L13" s="739">
        <f>'YEAR 3'!P13</f>
        <v>0</v>
      </c>
      <c r="M13" s="739"/>
      <c r="O13" s="739">
        <f>'YEAR 4'!P13</f>
        <v>0</v>
      </c>
      <c r="P13" s="739"/>
      <c r="R13" s="739">
        <f>'YEAR 5'!P13</f>
        <v>0</v>
      </c>
      <c r="S13" s="739"/>
      <c r="U13" s="405"/>
      <c r="V13" s="774">
        <f>ROUND(F13+I13+L13+O13+R13,0)</f>
        <v>0</v>
      </c>
      <c r="W13" s="774"/>
      <c r="X13" s="406"/>
    </row>
    <row r="14" spans="1:27" x14ac:dyDescent="0.3">
      <c r="B14" s="119"/>
      <c r="C14" s="115"/>
      <c r="D14" s="106" t="str">
        <f>"Fringe @ "&amp;TEXT(FRINGE,"0.00%")</f>
        <v>Fringe @ 27.27%</v>
      </c>
      <c r="G14" s="180">
        <f>'YEAR 1'!Q14</f>
        <v>0</v>
      </c>
      <c r="J14" s="180">
        <f>'YEAR 2'!Q14</f>
        <v>0</v>
      </c>
      <c r="M14" s="180">
        <f>'YEAR 3'!Q14</f>
        <v>0</v>
      </c>
      <c r="P14" s="180">
        <f>'YEAR 4'!Q14</f>
        <v>0</v>
      </c>
      <c r="S14" s="180">
        <f>'YEAR 5'!Q14</f>
        <v>0</v>
      </c>
      <c r="U14" s="405"/>
      <c r="W14" s="278">
        <f>ROUND(G14+J14+M14+P14+S14,0)</f>
        <v>0</v>
      </c>
      <c r="X14" s="406"/>
    </row>
    <row r="15" spans="1:27" ht="3" customHeight="1" x14ac:dyDescent="0.3">
      <c r="B15" s="119"/>
      <c r="C15" s="115"/>
      <c r="U15" s="405"/>
      <c r="X15" s="406"/>
    </row>
    <row r="16" spans="1:27" ht="14.25" customHeight="1" x14ac:dyDescent="0.3">
      <c r="B16" s="113"/>
      <c r="C16" s="125" t="s">
        <v>798</v>
      </c>
      <c r="D16" s="21">
        <f>'YEAR 3'!D16</f>
        <v>0</v>
      </c>
      <c r="F16" s="739">
        <f>'YEAR 1'!Q16</f>
        <v>0</v>
      </c>
      <c r="G16" s="739"/>
      <c r="I16" s="739">
        <f>'YEAR 2'!P16</f>
        <v>0</v>
      </c>
      <c r="J16" s="739"/>
      <c r="L16" s="739">
        <f>'YEAR 3'!P16</f>
        <v>0</v>
      </c>
      <c r="M16" s="739"/>
      <c r="O16" s="739">
        <f>'YEAR 4'!P16</f>
        <v>0</v>
      </c>
      <c r="P16" s="739"/>
      <c r="R16" s="739">
        <f>'YEAR 5'!P16</f>
        <v>0</v>
      </c>
      <c r="S16" s="739"/>
      <c r="U16" s="405"/>
      <c r="V16" s="774">
        <f>ROUND(F16+I16+L16+O16+R16,0)</f>
        <v>0</v>
      </c>
      <c r="W16" s="774"/>
      <c r="X16" s="406"/>
    </row>
    <row r="17" spans="3:24" x14ac:dyDescent="0.3">
      <c r="D17" s="106" t="str">
        <f>"Fringe @ "&amp;TEXT(FRINGE,"0.00%")</f>
        <v>Fringe @ 27.27%</v>
      </c>
      <c r="G17" s="180">
        <f>'YEAR 1'!Q17</f>
        <v>0</v>
      </c>
      <c r="J17" s="180">
        <f>'YEAR 2'!Q17</f>
        <v>0</v>
      </c>
      <c r="M17" s="180">
        <f>'YEAR 3'!Q17</f>
        <v>0</v>
      </c>
      <c r="P17" s="180">
        <f>'YEAR 4'!Q17</f>
        <v>0</v>
      </c>
      <c r="S17" s="180">
        <f>'YEAR 5'!Q17</f>
        <v>0</v>
      </c>
      <c r="U17" s="405"/>
      <c r="W17" s="278">
        <f>ROUND(G17+J17+M17+P17+S17,0)</f>
        <v>0</v>
      </c>
      <c r="X17" s="406"/>
    </row>
    <row r="18" spans="3:24" ht="3" customHeight="1" x14ac:dyDescent="0.3">
      <c r="U18" s="405"/>
      <c r="X18" s="406"/>
    </row>
    <row r="19" spans="3:24" ht="14.25" customHeight="1" x14ac:dyDescent="0.3">
      <c r="C19" s="125" t="s">
        <v>798</v>
      </c>
      <c r="D19" s="21">
        <f>'YEAR 3'!D19</f>
        <v>0</v>
      </c>
      <c r="F19" s="739">
        <f>'YEAR 1'!Q19</f>
        <v>0</v>
      </c>
      <c r="G19" s="739"/>
      <c r="I19" s="739">
        <f>'YEAR 2'!P19</f>
        <v>0</v>
      </c>
      <c r="J19" s="739"/>
      <c r="L19" s="739">
        <f>'YEAR 3'!P19</f>
        <v>0</v>
      </c>
      <c r="M19" s="739"/>
      <c r="O19" s="739">
        <f>'YEAR 4'!P19</f>
        <v>0</v>
      </c>
      <c r="P19" s="739"/>
      <c r="R19" s="739">
        <f>'YEAR 5'!P19</f>
        <v>0</v>
      </c>
      <c r="S19" s="739"/>
      <c r="U19" s="405"/>
      <c r="V19" s="774">
        <f>ROUND(F19+I19+L19+O19+R19,0)</f>
        <v>0</v>
      </c>
      <c r="W19" s="774"/>
      <c r="X19" s="406"/>
    </row>
    <row r="20" spans="3:24" x14ac:dyDescent="0.3">
      <c r="D20" s="106" t="str">
        <f>"Fringe @ "&amp;TEXT(FRINGE,"0.00%")</f>
        <v>Fringe @ 27.27%</v>
      </c>
      <c r="G20" s="180">
        <f>'YEAR 1'!Q20</f>
        <v>0</v>
      </c>
      <c r="J20" s="180">
        <f>'YEAR 2'!Q20</f>
        <v>0</v>
      </c>
      <c r="M20" s="180">
        <f>'YEAR 3'!Q20</f>
        <v>0</v>
      </c>
      <c r="P20" s="180">
        <f>'YEAR 4'!Q20</f>
        <v>0</v>
      </c>
      <c r="S20" s="180">
        <f>'YEAR 5'!Q20</f>
        <v>0</v>
      </c>
      <c r="U20" s="405"/>
      <c r="W20" s="278">
        <f>ROUND(G20+J20+M20+P20+S20,0)</f>
        <v>0</v>
      </c>
      <c r="X20" s="406"/>
    </row>
    <row r="21" spans="3:24" ht="3" customHeight="1" x14ac:dyDescent="0.3">
      <c r="U21" s="405"/>
      <c r="X21" s="406"/>
    </row>
    <row r="22" spans="3:24" ht="14.25" customHeight="1" x14ac:dyDescent="0.3">
      <c r="C22" s="125" t="s">
        <v>798</v>
      </c>
      <c r="D22" s="21">
        <f>'YEAR 3'!D22</f>
        <v>0</v>
      </c>
      <c r="F22" s="739">
        <f>'YEAR 1'!P22</f>
        <v>0</v>
      </c>
      <c r="G22" s="739"/>
      <c r="I22" s="739">
        <f>'YEAR 2'!P22</f>
        <v>0</v>
      </c>
      <c r="J22" s="739"/>
      <c r="L22" s="739">
        <f>'YEAR 3'!P22</f>
        <v>0</v>
      </c>
      <c r="M22" s="739"/>
      <c r="O22" s="739">
        <f>'YEAR 4'!P22</f>
        <v>0</v>
      </c>
      <c r="P22" s="739"/>
      <c r="R22" s="739">
        <f>'YEAR 5'!P22</f>
        <v>0</v>
      </c>
      <c r="S22" s="739"/>
      <c r="U22" s="405"/>
      <c r="V22" s="774">
        <f>ROUND(F22+I22+L22+O22+R22,0)</f>
        <v>0</v>
      </c>
      <c r="W22" s="774"/>
      <c r="X22" s="406"/>
    </row>
    <row r="23" spans="3:24" x14ac:dyDescent="0.3">
      <c r="D23" s="106" t="str">
        <f>"Fringe @ "&amp;TEXT(FRINGE,"0.00%")</f>
        <v>Fringe @ 27.27%</v>
      </c>
      <c r="G23" s="180">
        <f>'YEAR 1'!Q23</f>
        <v>0</v>
      </c>
      <c r="J23" s="180">
        <f>'YEAR 2'!Q23</f>
        <v>0</v>
      </c>
      <c r="M23" s="180">
        <f>'YEAR 3'!Q23</f>
        <v>0</v>
      </c>
      <c r="P23" s="180">
        <f>'YEAR 4'!Q23</f>
        <v>0</v>
      </c>
      <c r="S23" s="180">
        <f>'YEAR 5'!Q23</f>
        <v>0</v>
      </c>
      <c r="U23" s="405"/>
      <c r="W23" s="278">
        <f>ROUND(G23+J23+M23+P23+S23,0)</f>
        <v>0</v>
      </c>
      <c r="X23" s="406"/>
    </row>
    <row r="24" spans="3:24" ht="3" customHeight="1" x14ac:dyDescent="0.3">
      <c r="U24" s="405"/>
      <c r="X24" s="406"/>
    </row>
    <row r="25" spans="3:24" ht="14.25" customHeight="1" x14ac:dyDescent="0.3">
      <c r="C25" s="125" t="s">
        <v>798</v>
      </c>
      <c r="D25" s="21">
        <f>'YEAR 3'!D25</f>
        <v>0</v>
      </c>
      <c r="F25" s="739">
        <f>'YEAR 1'!P25</f>
        <v>0</v>
      </c>
      <c r="G25" s="739"/>
      <c r="I25" s="739">
        <f>'YEAR 2'!P25</f>
        <v>0</v>
      </c>
      <c r="J25" s="739"/>
      <c r="L25" s="739">
        <f>'YEAR 3'!P25</f>
        <v>0</v>
      </c>
      <c r="M25" s="739"/>
      <c r="O25" s="739">
        <f>'YEAR 4'!P25</f>
        <v>0</v>
      </c>
      <c r="P25" s="739"/>
      <c r="R25" s="739">
        <f>'YEAR 5'!P25</f>
        <v>0</v>
      </c>
      <c r="S25" s="739"/>
      <c r="U25" s="405"/>
      <c r="V25" s="774">
        <f>ROUND(F25+I25+L25+O25+R25,0)</f>
        <v>0</v>
      </c>
      <c r="W25" s="774"/>
      <c r="X25" s="406"/>
    </row>
    <row r="26" spans="3:24" x14ac:dyDescent="0.3">
      <c r="D26" s="106" t="str">
        <f>"Fringe @ "&amp;TEXT(FRINGE,"0.00%")</f>
        <v>Fringe @ 27.27%</v>
      </c>
      <c r="G26" s="180">
        <f>'YEAR 1'!Q26</f>
        <v>0</v>
      </c>
      <c r="J26" s="180">
        <f>'YEAR 2'!Q26</f>
        <v>0</v>
      </c>
      <c r="M26" s="180">
        <f>'YEAR 3'!Q26</f>
        <v>0</v>
      </c>
      <c r="P26" s="180">
        <f>'YEAR 4'!Q26</f>
        <v>0</v>
      </c>
      <c r="S26" s="180">
        <f>'YEAR 5'!Q26</f>
        <v>0</v>
      </c>
      <c r="U26" s="405"/>
      <c r="W26" s="278">
        <f>ROUND(G26+J26+M26+P26+S26,0)</f>
        <v>0</v>
      </c>
      <c r="X26" s="406"/>
    </row>
    <row r="27" spans="3:24" ht="3" customHeight="1" x14ac:dyDescent="0.3">
      <c r="U27" s="405"/>
      <c r="X27" s="406"/>
    </row>
    <row r="28" spans="3:24" ht="14.25" customHeight="1" x14ac:dyDescent="0.3">
      <c r="C28" s="125" t="s">
        <v>798</v>
      </c>
      <c r="D28" s="21">
        <f>'YEAR 3'!D28</f>
        <v>0</v>
      </c>
      <c r="F28" s="739">
        <f>'YEAR 1'!P28</f>
        <v>0</v>
      </c>
      <c r="G28" s="739"/>
      <c r="I28" s="739">
        <f>'YEAR 2'!P28</f>
        <v>0</v>
      </c>
      <c r="J28" s="739"/>
      <c r="L28" s="739">
        <f>'YEAR 3'!P28</f>
        <v>0</v>
      </c>
      <c r="M28" s="739"/>
      <c r="O28" s="739">
        <f>'YEAR 4'!P28</f>
        <v>0</v>
      </c>
      <c r="P28" s="739"/>
      <c r="R28" s="739">
        <f>'YEAR 5'!P28</f>
        <v>0</v>
      </c>
      <c r="S28" s="739"/>
      <c r="U28" s="405"/>
      <c r="V28" s="774">
        <f>ROUND(F28+I28+L28+O28+R28,0)</f>
        <v>0</v>
      </c>
      <c r="W28" s="774"/>
      <c r="X28" s="406"/>
    </row>
    <row r="29" spans="3:24" x14ac:dyDescent="0.3">
      <c r="D29" s="106" t="str">
        <f>"Fringe @ "&amp;TEXT(FRINGE,"0.00%")</f>
        <v>Fringe @ 27.27%</v>
      </c>
      <c r="G29" s="180">
        <f>'YEAR 1'!Q29</f>
        <v>0</v>
      </c>
      <c r="J29" s="180">
        <f>'YEAR 2'!Q29</f>
        <v>0</v>
      </c>
      <c r="M29" s="180">
        <f>'YEAR 3'!Q29</f>
        <v>0</v>
      </c>
      <c r="P29" s="180">
        <f>'YEAR 4'!Q29</f>
        <v>0</v>
      </c>
      <c r="S29" s="180">
        <f>'YEAR 5'!Q29</f>
        <v>0</v>
      </c>
      <c r="U29" s="405"/>
      <c r="W29" s="278">
        <f>ROUND(G29+J29+M29+P29+S29,0)</f>
        <v>0</v>
      </c>
      <c r="X29" s="406"/>
    </row>
    <row r="30" spans="3:24" ht="3" customHeight="1" x14ac:dyDescent="0.3">
      <c r="U30" s="405"/>
      <c r="X30" s="406"/>
    </row>
    <row r="31" spans="3:24" ht="14.25" customHeight="1" x14ac:dyDescent="0.3">
      <c r="C31" s="125" t="s">
        <v>798</v>
      </c>
      <c r="D31" s="21">
        <f>'YEAR 3'!D31</f>
        <v>0</v>
      </c>
      <c r="F31" s="739">
        <f>'YEAR 1'!P31</f>
        <v>0</v>
      </c>
      <c r="G31" s="739"/>
      <c r="I31" s="739">
        <f>'YEAR 2'!P31</f>
        <v>0</v>
      </c>
      <c r="J31" s="739"/>
      <c r="L31" s="739">
        <f>'YEAR 3'!P31</f>
        <v>0</v>
      </c>
      <c r="M31" s="739"/>
      <c r="O31" s="739">
        <f>'YEAR 4'!P31</f>
        <v>0</v>
      </c>
      <c r="P31" s="739"/>
      <c r="R31" s="739">
        <f>'YEAR 5'!P31</f>
        <v>0</v>
      </c>
      <c r="S31" s="739"/>
      <c r="U31" s="405"/>
      <c r="V31" s="774">
        <f>ROUND(F31+I31+L31+O31+R31,0)</f>
        <v>0</v>
      </c>
      <c r="W31" s="774"/>
      <c r="X31" s="406"/>
    </row>
    <row r="32" spans="3:24" x14ac:dyDescent="0.3">
      <c r="D32" s="106" t="str">
        <f>"Fringe @ "&amp;TEXT(FRINGE,"0.00%")</f>
        <v>Fringe @ 27.27%</v>
      </c>
      <c r="G32" s="180">
        <f>'YEAR 1'!Q32</f>
        <v>0</v>
      </c>
      <c r="J32" s="180">
        <f>'YEAR 2'!Q32</f>
        <v>0</v>
      </c>
      <c r="M32" s="180">
        <f>'YEAR 3'!Q32</f>
        <v>0</v>
      </c>
      <c r="P32" s="180">
        <f>'YEAR 4'!Q32</f>
        <v>0</v>
      </c>
      <c r="S32" s="180">
        <f>'YEAR 5'!Q32</f>
        <v>0</v>
      </c>
      <c r="U32" s="405"/>
      <c r="W32" s="278">
        <f>ROUND(G32+J32+M32+P32+S32,0)</f>
        <v>0</v>
      </c>
      <c r="X32" s="406"/>
    </row>
    <row r="33" spans="1:27" ht="3" customHeight="1" x14ac:dyDescent="0.3">
      <c r="U33" s="405"/>
      <c r="X33" s="406"/>
    </row>
    <row r="34" spans="1:27" ht="14.25" customHeight="1" x14ac:dyDescent="0.3">
      <c r="C34" s="125" t="s">
        <v>798</v>
      </c>
      <c r="D34" s="21">
        <f>'YEAR 3'!D34</f>
        <v>0</v>
      </c>
      <c r="F34" s="739">
        <f>'YEAR 1'!P34</f>
        <v>0</v>
      </c>
      <c r="G34" s="739"/>
      <c r="I34" s="739">
        <f>'YEAR 2'!P34</f>
        <v>0</v>
      </c>
      <c r="J34" s="739"/>
      <c r="L34" s="739">
        <f>'YEAR 3'!P34</f>
        <v>0</v>
      </c>
      <c r="M34" s="739"/>
      <c r="O34" s="739">
        <f>'YEAR 4'!P34</f>
        <v>0</v>
      </c>
      <c r="P34" s="739"/>
      <c r="R34" s="739">
        <f>'YEAR 5'!P34</f>
        <v>0</v>
      </c>
      <c r="S34" s="739"/>
      <c r="U34" s="405"/>
      <c r="V34" s="774">
        <f>ROUND(F34+I34+L34+O34+R34,0)</f>
        <v>0</v>
      </c>
      <c r="W34" s="774"/>
      <c r="X34" s="406"/>
    </row>
    <row r="35" spans="1:27" ht="12.75" customHeight="1" x14ac:dyDescent="0.3">
      <c r="D35" s="106" t="str">
        <f>"Fringe @ "&amp;TEXT(FRINGE,"0.00%")</f>
        <v>Fringe @ 27.27%</v>
      </c>
      <c r="G35" s="180">
        <f>'YEAR 1'!Q35</f>
        <v>0</v>
      </c>
      <c r="J35" s="180">
        <f>'YEAR 2'!Q35</f>
        <v>0</v>
      </c>
      <c r="M35" s="180">
        <f>'YEAR 3'!Q35</f>
        <v>0</v>
      </c>
      <c r="P35" s="180">
        <f>'YEAR 4'!Q35</f>
        <v>0</v>
      </c>
      <c r="S35" s="180">
        <f>'YEAR 5'!Q35</f>
        <v>0</v>
      </c>
      <c r="U35" s="405"/>
      <c r="W35" s="278">
        <f>ROUND(G35+J35+M35+P35+S35,0)</f>
        <v>0</v>
      </c>
      <c r="X35" s="406"/>
    </row>
    <row r="36" spans="1:27" ht="3" customHeight="1" x14ac:dyDescent="0.3">
      <c r="D36" s="115"/>
      <c r="E36" s="115"/>
      <c r="U36" s="405"/>
      <c r="X36" s="406"/>
    </row>
    <row r="37" spans="1:27" ht="14.25" customHeight="1" x14ac:dyDescent="0.3">
      <c r="C37" s="125" t="s">
        <v>798</v>
      </c>
      <c r="D37" s="21">
        <f>'YEAR 3'!D37</f>
        <v>0</v>
      </c>
      <c r="F37" s="739">
        <f>'YEAR 1'!P37</f>
        <v>0</v>
      </c>
      <c r="G37" s="739"/>
      <c r="I37" s="739">
        <f>'YEAR 2'!P37</f>
        <v>0</v>
      </c>
      <c r="J37" s="739"/>
      <c r="L37" s="739">
        <f>'YEAR 3'!P37</f>
        <v>0</v>
      </c>
      <c r="M37" s="739"/>
      <c r="O37" s="739">
        <f>'YEAR 4'!P37</f>
        <v>0</v>
      </c>
      <c r="P37" s="739"/>
      <c r="R37" s="739">
        <f>'YEAR 5'!P37</f>
        <v>0</v>
      </c>
      <c r="S37" s="739"/>
      <c r="U37" s="405"/>
      <c r="V37" s="774">
        <f>ROUND(F37+I37+L37+O37+R37,0)</f>
        <v>0</v>
      </c>
      <c r="W37" s="774"/>
      <c r="X37" s="406"/>
    </row>
    <row r="38" spans="1:27" x14ac:dyDescent="0.3">
      <c r="D38" s="106" t="str">
        <f>"Fringe @ "&amp;TEXT(FRINGE,"0.00%")</f>
        <v>Fringe @ 27.27%</v>
      </c>
      <c r="G38" s="180">
        <f>'YEAR 1'!Q38</f>
        <v>0</v>
      </c>
      <c r="J38" s="180">
        <f>'YEAR 2'!Q38</f>
        <v>0</v>
      </c>
      <c r="M38" s="180">
        <f>'YEAR 3'!Q38</f>
        <v>0</v>
      </c>
      <c r="P38" s="180">
        <f>'YEAR 4'!Q38</f>
        <v>0</v>
      </c>
      <c r="S38" s="180">
        <f>'YEAR 5'!Q38</f>
        <v>0</v>
      </c>
      <c r="U38" s="405"/>
      <c r="W38" s="278">
        <f>ROUND(G38+J38+M38+P38+S38,0)</f>
        <v>0</v>
      </c>
      <c r="X38" s="406"/>
    </row>
    <row r="39" spans="1:27" ht="3" customHeight="1" x14ac:dyDescent="0.3">
      <c r="D39" s="115"/>
      <c r="E39" s="115"/>
      <c r="U39" s="405"/>
      <c r="X39" s="406"/>
    </row>
    <row r="40" spans="1:27" ht="14.25" customHeight="1" x14ac:dyDescent="0.3">
      <c r="D40" s="21">
        <f>'YEAR 3'!D40</f>
        <v>0</v>
      </c>
      <c r="F40" s="739">
        <f>'YEAR 1'!P40</f>
        <v>0</v>
      </c>
      <c r="G40" s="739"/>
      <c r="I40" s="739">
        <f>'YEAR 2'!P40</f>
        <v>0</v>
      </c>
      <c r="J40" s="739"/>
      <c r="L40" s="739">
        <f>'YEAR 3'!P40</f>
        <v>0</v>
      </c>
      <c r="M40" s="739"/>
      <c r="O40" s="739">
        <f>'YEAR 4'!P40</f>
        <v>0</v>
      </c>
      <c r="P40" s="739"/>
      <c r="R40" s="739">
        <f>'YEAR 5'!P40</f>
        <v>0</v>
      </c>
      <c r="S40" s="739"/>
      <c r="U40" s="405"/>
      <c r="V40" s="774">
        <f>ROUND(F40+I40+L40+O40+R40,0)</f>
        <v>0</v>
      </c>
      <c r="W40" s="774"/>
      <c r="X40" s="406"/>
    </row>
    <row r="41" spans="1:27" x14ac:dyDescent="0.3">
      <c r="D41" s="106" t="str">
        <f>"Fringe @ "&amp;TEXT(FRINGE,"0.00%")</f>
        <v>Fringe @ 27.27%</v>
      </c>
      <c r="G41" s="180">
        <f>'YEAR 1'!Q41</f>
        <v>0</v>
      </c>
      <c r="J41" s="180">
        <f>'YEAR 2'!Q41</f>
        <v>0</v>
      </c>
      <c r="M41" s="180">
        <f>'YEAR 3'!Q41</f>
        <v>0</v>
      </c>
      <c r="P41" s="180">
        <f>'YEAR 4'!Q41</f>
        <v>0</v>
      </c>
      <c r="S41" s="180">
        <f>'YEAR 5'!Q41</f>
        <v>0</v>
      </c>
      <c r="U41" s="405"/>
      <c r="W41" s="278">
        <f>ROUND(G41+J41+M41+P41+S41,0)</f>
        <v>0</v>
      </c>
      <c r="X41" s="406"/>
    </row>
    <row r="42" spans="1:27" ht="3" customHeight="1" x14ac:dyDescent="0.3">
      <c r="B42" s="772"/>
      <c r="C42" s="772"/>
      <c r="D42" s="772"/>
      <c r="E42" s="772"/>
      <c r="F42" s="763"/>
      <c r="G42" s="763"/>
      <c r="H42" s="296"/>
      <c r="I42" s="296"/>
      <c r="J42" s="296"/>
      <c r="K42" s="296"/>
      <c r="L42" s="296"/>
      <c r="M42" s="296"/>
      <c r="N42" s="296"/>
      <c r="O42" s="296"/>
      <c r="P42" s="296"/>
      <c r="Q42" s="296"/>
      <c r="R42" s="296"/>
      <c r="S42" s="296"/>
      <c r="T42" s="296"/>
      <c r="U42" s="409"/>
      <c r="V42" s="781"/>
      <c r="W42" s="781"/>
      <c r="X42" s="406"/>
    </row>
    <row r="43" spans="1:27" x14ac:dyDescent="0.3">
      <c r="B43" s="546" t="str">
        <f>CONCATENATE("TOTAL ",B12)</f>
        <v>TOTAL SENIOR PERSONNEL</v>
      </c>
      <c r="C43" s="547"/>
      <c r="D43" s="548"/>
      <c r="E43" s="548"/>
      <c r="F43" s="790">
        <f>ROUND(SUM(F13:G42),0)</f>
        <v>0</v>
      </c>
      <c r="G43" s="790"/>
      <c r="H43" s="549"/>
      <c r="I43" s="790">
        <f>ROUND(SUM(I13:J42),0)</f>
        <v>0</v>
      </c>
      <c r="J43" s="790"/>
      <c r="K43" s="549"/>
      <c r="L43" s="790">
        <f>ROUND(SUM(L13:M42),0)</f>
        <v>0</v>
      </c>
      <c r="M43" s="790"/>
      <c r="N43" s="549"/>
      <c r="O43" s="790">
        <f>ROUND(SUM(O13:P42),0)</f>
        <v>0</v>
      </c>
      <c r="P43" s="790"/>
      <c r="Q43" s="549"/>
      <c r="R43" s="790">
        <f>ROUND(SUM(R13:S42),0)</f>
        <v>0</v>
      </c>
      <c r="S43" s="790"/>
      <c r="T43" s="549"/>
      <c r="U43" s="550"/>
      <c r="V43" s="790">
        <f>ROUND(SUM(F43:S43),0)</f>
        <v>0</v>
      </c>
      <c r="W43" s="790"/>
      <c r="X43" s="551"/>
      <c r="AA43" s="396">
        <f>ROUND(SUM(V13:W41),0)</f>
        <v>0</v>
      </c>
    </row>
    <row r="44" spans="1:27" ht="3" customHeight="1" x14ac:dyDescent="0.3">
      <c r="U44" s="405"/>
      <c r="X44" s="406"/>
    </row>
    <row r="45" spans="1:27" x14ac:dyDescent="0.3">
      <c r="A45" s="109" t="s">
        <v>182</v>
      </c>
      <c r="B45" s="127" t="s">
        <v>799</v>
      </c>
      <c r="U45" s="405"/>
      <c r="X45" s="406"/>
    </row>
    <row r="46" spans="1:27" ht="14.25" customHeight="1" x14ac:dyDescent="0.3">
      <c r="B46" s="113"/>
      <c r="C46" s="115">
        <f>+'YEAR 1'!C46</f>
        <v>1</v>
      </c>
      <c r="D46" s="21" t="str">
        <f>'YEAR 1'!D46</f>
        <v>Lab Technician, Senior Level</v>
      </c>
      <c r="F46" s="739">
        <f>'YEAR 1'!P46</f>
        <v>0</v>
      </c>
      <c r="G46" s="739"/>
      <c r="I46" s="739">
        <f>'YEAR 2'!P46</f>
        <v>0</v>
      </c>
      <c r="J46" s="739"/>
      <c r="L46" s="739">
        <f>'YEAR 3'!P46</f>
        <v>0</v>
      </c>
      <c r="M46" s="739"/>
      <c r="O46" s="739">
        <f>'YEAR 4'!P46</f>
        <v>0</v>
      </c>
      <c r="P46" s="739"/>
      <c r="R46" s="739">
        <f>'YEAR 5'!P46</f>
        <v>0</v>
      </c>
      <c r="S46" s="739"/>
      <c r="U46" s="405"/>
      <c r="V46" s="774">
        <f>ROUND(F46+I46+L46+O46+R46,0)</f>
        <v>0</v>
      </c>
      <c r="W46" s="774"/>
      <c r="X46" s="406"/>
    </row>
    <row r="47" spans="1:27" x14ac:dyDescent="0.3">
      <c r="B47" s="119"/>
      <c r="C47" s="115"/>
      <c r="D47" s="106" t="str">
        <f>"Fringe @ "&amp;TEXT(FRINGE,"0.00%")</f>
        <v>Fringe @ 27.27%</v>
      </c>
      <c r="G47" s="180">
        <f>'YEAR 1'!Q47</f>
        <v>0</v>
      </c>
      <c r="J47" s="180">
        <f>'YEAR 2'!Q47</f>
        <v>0</v>
      </c>
      <c r="M47" s="180">
        <f>'YEAR 3'!Q47</f>
        <v>0</v>
      </c>
      <c r="P47" s="180">
        <f>'YEAR 4'!Q47</f>
        <v>0</v>
      </c>
      <c r="S47" s="180">
        <f>'YEAR 5'!Q47</f>
        <v>0</v>
      </c>
      <c r="U47" s="405"/>
      <c r="W47" s="278">
        <f>ROUND(G47+J47+M47+P47+S47,0)</f>
        <v>0</v>
      </c>
      <c r="X47" s="406"/>
    </row>
    <row r="48" spans="1:27" ht="3" customHeight="1" x14ac:dyDescent="0.3">
      <c r="C48" s="115">
        <f>+'YEAR 1'!C48</f>
        <v>0</v>
      </c>
      <c r="D48" s="115"/>
      <c r="E48" s="115"/>
      <c r="U48" s="405"/>
      <c r="X48" s="406"/>
    </row>
    <row r="49" spans="1:24" ht="14.25" customHeight="1" x14ac:dyDescent="0.3">
      <c r="B49" s="113"/>
      <c r="C49" s="115">
        <f>+'YEAR 1'!C49</f>
        <v>1</v>
      </c>
      <c r="D49" s="21" t="str">
        <f>'YEAR 1'!D49</f>
        <v>PhD Post Doc</v>
      </c>
      <c r="F49" s="739">
        <f>'YEAR 1'!P49</f>
        <v>0</v>
      </c>
      <c r="G49" s="739"/>
      <c r="I49" s="739">
        <f>'YEAR 2'!P49</f>
        <v>0</v>
      </c>
      <c r="J49" s="739"/>
      <c r="L49" s="739">
        <f>'YEAR 3'!P49</f>
        <v>0</v>
      </c>
      <c r="M49" s="739"/>
      <c r="O49" s="739">
        <f>'YEAR 4'!P49</f>
        <v>0</v>
      </c>
      <c r="P49" s="739"/>
      <c r="R49" s="739">
        <f>'YEAR 5'!P49</f>
        <v>0</v>
      </c>
      <c r="S49" s="739"/>
      <c r="U49" s="405"/>
      <c r="V49" s="774">
        <f>ROUND(F49+I49+L49+O49+R49,0)</f>
        <v>0</v>
      </c>
      <c r="W49" s="774"/>
      <c r="X49" s="406"/>
    </row>
    <row r="50" spans="1:24" x14ac:dyDescent="0.3">
      <c r="C50" s="115"/>
      <c r="D50" s="106" t="str">
        <f>"Fringe @ "&amp;TEXT(FRINGE,"0.00%")</f>
        <v>Fringe @ 27.27%</v>
      </c>
      <c r="G50" s="180">
        <f>'YEAR 1'!Q50</f>
        <v>0</v>
      </c>
      <c r="J50" s="180">
        <f>'YEAR 2'!Q50</f>
        <v>0</v>
      </c>
      <c r="M50" s="180">
        <f>'YEAR 3'!Q50</f>
        <v>0</v>
      </c>
      <c r="P50" s="180">
        <f>'YEAR 4'!Q50</f>
        <v>0</v>
      </c>
      <c r="S50" s="180">
        <f>'YEAR 5'!Q50</f>
        <v>0</v>
      </c>
      <c r="U50" s="405"/>
      <c r="W50" s="278">
        <f>ROUND(G50+J50+M50+P50+S50,0)</f>
        <v>0</v>
      </c>
      <c r="X50" s="406"/>
    </row>
    <row r="51" spans="1:24" ht="3" customHeight="1" x14ac:dyDescent="0.3">
      <c r="B51" s="127"/>
      <c r="C51" s="115">
        <f>+'YEAR 1'!C51</f>
        <v>0</v>
      </c>
      <c r="U51" s="405"/>
      <c r="X51" s="406"/>
    </row>
    <row r="52" spans="1:24" ht="14.25" customHeight="1" x14ac:dyDescent="0.3">
      <c r="B52" s="113"/>
      <c r="C52" s="115">
        <f>+'YEAR 1'!C52</f>
        <v>1</v>
      </c>
      <c r="D52" s="21" t="str">
        <f>'YEAR 1'!D52</f>
        <v>Graduate Student</v>
      </c>
      <c r="F52" s="739">
        <f>'YEAR 1'!P52</f>
        <v>0</v>
      </c>
      <c r="G52" s="739"/>
      <c r="I52" s="739">
        <f>'YEAR 2'!P52</f>
        <v>0</v>
      </c>
      <c r="J52" s="739"/>
      <c r="L52" s="739">
        <f>'YEAR 3'!P52</f>
        <v>0</v>
      </c>
      <c r="M52" s="739"/>
      <c r="O52" s="739">
        <f>'YEAR 4'!P52</f>
        <v>0</v>
      </c>
      <c r="P52" s="739"/>
      <c r="R52" s="739">
        <f>'YEAR 5'!P52</f>
        <v>0</v>
      </c>
      <c r="S52" s="739"/>
      <c r="U52" s="405"/>
      <c r="V52" s="774">
        <f>ROUND(F52+I52+L52+O52+R52,0)</f>
        <v>0</v>
      </c>
      <c r="W52" s="774"/>
      <c r="X52" s="406"/>
    </row>
    <row r="53" spans="1:24" x14ac:dyDescent="0.3">
      <c r="A53" s="109"/>
      <c r="B53" s="109"/>
      <c r="C53" s="115"/>
      <c r="D53" s="106" t="str">
        <f>"Fringe @ "&amp;TEXT(StuFRINGE+FrCOLA+FrCOLA+FrCOLA,"0.00%")</f>
        <v>Fringe @ 7.99%</v>
      </c>
      <c r="G53" s="180">
        <f>'YEAR 1'!Q53</f>
        <v>0</v>
      </c>
      <c r="J53" s="180">
        <f>'YEAR 2'!Q53</f>
        <v>0</v>
      </c>
      <c r="M53" s="180">
        <f>'YEAR 3'!Q53</f>
        <v>0</v>
      </c>
      <c r="P53" s="180">
        <f>'YEAR 4'!Q53</f>
        <v>0</v>
      </c>
      <c r="S53" s="180">
        <f>'YEAR 5'!Q53</f>
        <v>0</v>
      </c>
      <c r="U53" s="405"/>
      <c r="W53" s="278">
        <f>ROUND(G53+J53+M53+P53+S53,0)</f>
        <v>0</v>
      </c>
      <c r="X53" s="406"/>
    </row>
    <row r="54" spans="1:24" ht="3" customHeight="1" x14ac:dyDescent="0.3">
      <c r="C54" s="115">
        <f>+'YEAR 1'!C54</f>
        <v>0</v>
      </c>
      <c r="D54" s="115"/>
      <c r="E54" s="115"/>
      <c r="U54" s="405"/>
      <c r="X54" s="406"/>
    </row>
    <row r="55" spans="1:24" ht="14.25" customHeight="1" x14ac:dyDescent="0.3">
      <c r="C55" s="115">
        <f>+'YEAR 1'!C55</f>
        <v>1</v>
      </c>
      <c r="D55" s="21" t="str">
        <f>'YEAR 1'!D55</f>
        <v>Graduate Student</v>
      </c>
      <c r="F55" s="739">
        <f>'YEAR 1'!P55</f>
        <v>0</v>
      </c>
      <c r="G55" s="739"/>
      <c r="I55" s="739">
        <f>'YEAR 2'!P55</f>
        <v>0</v>
      </c>
      <c r="J55" s="739"/>
      <c r="L55" s="739">
        <f>'YEAR 3'!P55</f>
        <v>0</v>
      </c>
      <c r="M55" s="739"/>
      <c r="O55" s="739">
        <f>'YEAR 4'!P55</f>
        <v>0</v>
      </c>
      <c r="P55" s="739"/>
      <c r="R55" s="739">
        <f>'YEAR 5'!P55</f>
        <v>0</v>
      </c>
      <c r="S55" s="739"/>
      <c r="U55" s="405"/>
      <c r="V55" s="774">
        <f>ROUND(F55+I55+L55+O55+R55,0)</f>
        <v>0</v>
      </c>
      <c r="W55" s="774"/>
      <c r="X55" s="406"/>
    </row>
    <row r="56" spans="1:24" x14ac:dyDescent="0.3">
      <c r="C56" s="115"/>
      <c r="D56" s="106" t="str">
        <f>"Fringe @ "&amp;TEXT(StuFRINGE+FrCOLA+FrCOLA+FrCOLA,"0.00%")</f>
        <v>Fringe @ 7.99%</v>
      </c>
      <c r="G56" s="180">
        <f>'YEAR 1'!Q56</f>
        <v>0</v>
      </c>
      <c r="J56" s="180">
        <f>'YEAR 2'!Q56</f>
        <v>0</v>
      </c>
      <c r="M56" s="180">
        <f>'YEAR 3'!Q56</f>
        <v>0</v>
      </c>
      <c r="P56" s="180">
        <f>'YEAR 4'!Q56</f>
        <v>0</v>
      </c>
      <c r="S56" s="180">
        <f>'YEAR 5'!Q56</f>
        <v>0</v>
      </c>
      <c r="U56" s="405"/>
      <c r="W56" s="278">
        <f>ROUND(G56+J56+M56+P56+S56,0)</f>
        <v>0</v>
      </c>
      <c r="X56" s="406"/>
    </row>
    <row r="57" spans="1:24" ht="3" customHeight="1" x14ac:dyDescent="0.3">
      <c r="C57" s="115">
        <f>+'YEAR 1'!C57</f>
        <v>0</v>
      </c>
      <c r="D57" s="115"/>
      <c r="E57" s="115"/>
      <c r="U57" s="405"/>
      <c r="X57" s="406"/>
    </row>
    <row r="58" spans="1:24" ht="14.25" customHeight="1" x14ac:dyDescent="0.3">
      <c r="C58" s="115">
        <f>+'YEAR 1'!C58</f>
        <v>0</v>
      </c>
      <c r="D58" s="21" t="str">
        <f>'YEAR 1'!D58</f>
        <v>Graduate Student</v>
      </c>
      <c r="F58" s="739">
        <f>'YEAR 1'!P58</f>
        <v>0</v>
      </c>
      <c r="G58" s="739"/>
      <c r="I58" s="739">
        <f>'YEAR 2'!P58</f>
        <v>0</v>
      </c>
      <c r="J58" s="739"/>
      <c r="L58" s="739">
        <f>'YEAR 3'!P58</f>
        <v>0</v>
      </c>
      <c r="M58" s="739"/>
      <c r="O58" s="739">
        <f>'YEAR 4'!P58</f>
        <v>0</v>
      </c>
      <c r="P58" s="739"/>
      <c r="R58" s="739">
        <f>'YEAR 5'!P58</f>
        <v>0</v>
      </c>
      <c r="S58" s="739"/>
      <c r="U58" s="405"/>
      <c r="V58" s="774">
        <f>ROUND(F58+I58+L58+O58+R58,0)</f>
        <v>0</v>
      </c>
      <c r="W58" s="774"/>
      <c r="X58" s="406"/>
    </row>
    <row r="59" spans="1:24" x14ac:dyDescent="0.3">
      <c r="C59" s="115"/>
      <c r="D59" s="106" t="str">
        <f>"Fringe @ "&amp;TEXT(StuFRINGE+FrCOLA+FrCOLA+FrCOLA,"0.00%")</f>
        <v>Fringe @ 7.99%</v>
      </c>
      <c r="G59" s="180">
        <f>'YEAR 1'!Q59</f>
        <v>0</v>
      </c>
      <c r="J59" s="180">
        <f>'YEAR 2'!Q59</f>
        <v>0</v>
      </c>
      <c r="M59" s="180">
        <f>'YEAR 3'!Q59</f>
        <v>0</v>
      </c>
      <c r="P59" s="180">
        <f>'YEAR 4'!Q59</f>
        <v>0</v>
      </c>
      <c r="S59" s="180">
        <f>'YEAR 5'!Q59</f>
        <v>0</v>
      </c>
      <c r="U59" s="405"/>
      <c r="W59" s="278">
        <f>ROUND(G59+J59+M59+P59+S59,0)</f>
        <v>0</v>
      </c>
      <c r="X59" s="406"/>
    </row>
    <row r="60" spans="1:24" ht="3" customHeight="1" x14ac:dyDescent="0.3">
      <c r="C60" s="115"/>
      <c r="D60" s="115"/>
      <c r="E60" s="115"/>
      <c r="U60" s="405"/>
      <c r="X60" s="406"/>
    </row>
    <row r="61" spans="1:24" ht="14.25" customHeight="1" x14ac:dyDescent="0.3">
      <c r="C61" s="115">
        <f>+'YEAR 1'!C61</f>
        <v>1</v>
      </c>
      <c r="D61" s="21" t="str">
        <f>'YEAR 1'!D61</f>
        <v>Graduate Student</v>
      </c>
      <c r="F61" s="739">
        <f>'YEAR 1'!P61</f>
        <v>0</v>
      </c>
      <c r="G61" s="739"/>
      <c r="I61" s="739">
        <f>'YEAR 2'!P61</f>
        <v>0</v>
      </c>
      <c r="J61" s="739"/>
      <c r="L61" s="739">
        <f>'YEAR 3'!P61</f>
        <v>0</v>
      </c>
      <c r="M61" s="739"/>
      <c r="O61" s="739">
        <f>'YEAR 4'!P61</f>
        <v>0</v>
      </c>
      <c r="P61" s="739"/>
      <c r="R61" s="739">
        <f>'YEAR 5'!P61</f>
        <v>0</v>
      </c>
      <c r="S61" s="739"/>
      <c r="U61" s="405"/>
      <c r="V61" s="774">
        <f>ROUND(F61+I61+L61+O61+R61,0)</f>
        <v>0</v>
      </c>
      <c r="W61" s="774"/>
      <c r="X61" s="406"/>
    </row>
    <row r="62" spans="1:24" x14ac:dyDescent="0.3">
      <c r="C62" s="115"/>
      <c r="D62" s="106" t="str">
        <f>"Fringe @ "&amp;TEXT(StuFRINGE+FrCOLA+FrCOLA+FrCOLA,"0.00%")</f>
        <v>Fringe @ 7.99%</v>
      </c>
      <c r="G62" s="180">
        <f>'YEAR 1'!Q62</f>
        <v>0</v>
      </c>
      <c r="J62" s="180">
        <f>'YEAR 2'!Q62</f>
        <v>0</v>
      </c>
      <c r="M62" s="180">
        <f>'YEAR 3'!Q62</f>
        <v>0</v>
      </c>
      <c r="P62" s="180">
        <f>'YEAR 4'!Q62</f>
        <v>0</v>
      </c>
      <c r="S62" s="180">
        <f>'YEAR 5'!Q62</f>
        <v>0</v>
      </c>
      <c r="U62" s="405"/>
      <c r="W62" s="278">
        <f>ROUND(G62+J62+M62+P62+S62,0)</f>
        <v>0</v>
      </c>
      <c r="X62" s="406"/>
    </row>
    <row r="63" spans="1:24" ht="3" customHeight="1" x14ac:dyDescent="0.3">
      <c r="C63" s="115">
        <f>+'YEAR 1'!C63</f>
        <v>0</v>
      </c>
      <c r="D63" s="115"/>
      <c r="E63" s="115"/>
      <c r="U63" s="405"/>
      <c r="X63" s="406"/>
    </row>
    <row r="64" spans="1:24" ht="14.25" customHeight="1" x14ac:dyDescent="0.3">
      <c r="C64" s="115">
        <f>+'YEAR 1'!C64</f>
        <v>1</v>
      </c>
      <c r="D64" s="21" t="str">
        <f>'YEAR 1'!D64</f>
        <v>Undergraduate Student</v>
      </c>
      <c r="F64" s="739">
        <f>'YEAR 1'!P64</f>
        <v>0</v>
      </c>
      <c r="G64" s="739"/>
      <c r="I64" s="739">
        <f>'YEAR 2'!P64</f>
        <v>0</v>
      </c>
      <c r="J64" s="739"/>
      <c r="L64" s="739">
        <f>'YEAR 3'!P64</f>
        <v>0</v>
      </c>
      <c r="M64" s="739"/>
      <c r="O64" s="739">
        <f>'YEAR 4'!P64</f>
        <v>0</v>
      </c>
      <c r="P64" s="739"/>
      <c r="R64" s="739">
        <f>'YEAR 5'!P64</f>
        <v>0</v>
      </c>
      <c r="S64" s="739"/>
      <c r="U64" s="405"/>
      <c r="V64" s="774">
        <f>ROUND(F64+I64+L64+O64+R64,0)</f>
        <v>0</v>
      </c>
      <c r="W64" s="774"/>
      <c r="X64" s="406"/>
    </row>
    <row r="65" spans="1:27" x14ac:dyDescent="0.3">
      <c r="C65" s="115"/>
      <c r="D65" s="106" t="str">
        <f>"Fringe @ "&amp;TEXT(StuFRINGE+FrCOLA+FrCOLA+FrCOLA,"0.00%")</f>
        <v>Fringe @ 7.99%</v>
      </c>
      <c r="G65" s="180">
        <f>'YEAR 1'!Q65</f>
        <v>0</v>
      </c>
      <c r="J65" s="180">
        <f>'YEAR 2'!Q65</f>
        <v>0</v>
      </c>
      <c r="M65" s="180">
        <f>'YEAR 3'!Q65</f>
        <v>0</v>
      </c>
      <c r="P65" s="180">
        <f>'YEAR 4'!Q65</f>
        <v>0</v>
      </c>
      <c r="S65" s="180">
        <f>'YEAR 5'!Q65</f>
        <v>0</v>
      </c>
      <c r="U65" s="405"/>
      <c r="W65" s="278">
        <f>ROUND(G65+J65+M65+P65+S65,0)</f>
        <v>0</v>
      </c>
      <c r="X65" s="406"/>
    </row>
    <row r="66" spans="1:27" ht="3" customHeight="1" x14ac:dyDescent="0.3">
      <c r="B66" s="773"/>
      <c r="C66" s="773"/>
      <c r="D66" s="773"/>
      <c r="E66" s="773"/>
      <c r="F66" s="739"/>
      <c r="G66" s="739"/>
      <c r="U66" s="405"/>
      <c r="V66" s="781"/>
      <c r="W66" s="781"/>
      <c r="X66" s="406"/>
    </row>
    <row r="67" spans="1:27" x14ac:dyDescent="0.3">
      <c r="B67" s="552" t="str">
        <f>CONCATENATE("TOTAL ",B45)</f>
        <v>TOTAL OTHER PERSONNEL</v>
      </c>
      <c r="C67" s="553"/>
      <c r="D67" s="554"/>
      <c r="E67" s="554"/>
      <c r="F67" s="795">
        <f>ROUND(SUM(F45:G66),0)</f>
        <v>0</v>
      </c>
      <c r="G67" s="795"/>
      <c r="H67" s="555"/>
      <c r="I67" s="795">
        <f>ROUND(SUM(I45:J66),0)</f>
        <v>0</v>
      </c>
      <c r="J67" s="795"/>
      <c r="K67" s="555"/>
      <c r="L67" s="795">
        <f>ROUND(SUM(L45:M66),0)</f>
        <v>0</v>
      </c>
      <c r="M67" s="795"/>
      <c r="N67" s="555"/>
      <c r="O67" s="795">
        <f>ROUND(SUM(O45:P66),0)</f>
        <v>0</v>
      </c>
      <c r="P67" s="795"/>
      <c r="Q67" s="555"/>
      <c r="R67" s="795">
        <f>ROUND(SUM(R45:S66),0)</f>
        <v>0</v>
      </c>
      <c r="S67" s="795"/>
      <c r="T67" s="549"/>
      <c r="U67" s="550"/>
      <c r="V67" s="790">
        <f>ROUND(SUM(F67:S67),0)</f>
        <v>0</v>
      </c>
      <c r="W67" s="790"/>
      <c r="X67" s="551"/>
      <c r="AA67" s="396">
        <f>ROUND(SUM(V45:W66),0)</f>
        <v>0</v>
      </c>
    </row>
    <row r="68" spans="1:27" ht="3" customHeight="1" x14ac:dyDescent="0.3">
      <c r="D68" s="115"/>
      <c r="E68" s="115"/>
      <c r="U68" s="405"/>
      <c r="X68" s="406"/>
    </row>
    <row r="69" spans="1:27" x14ac:dyDescent="0.3">
      <c r="A69" s="109" t="s">
        <v>184</v>
      </c>
      <c r="B69" s="109" t="s">
        <v>769</v>
      </c>
      <c r="C69" s="109"/>
      <c r="D69" s="115"/>
      <c r="E69" s="115"/>
      <c r="U69" s="405"/>
      <c r="X69" s="406"/>
    </row>
    <row r="70" spans="1:27" x14ac:dyDescent="0.3">
      <c r="D70" s="570">
        <f>'YEAR 1'!D70</f>
        <v>0</v>
      </c>
      <c r="E70" s="115"/>
      <c r="F70" s="739">
        <f>'YEAR 1'!P70</f>
        <v>0</v>
      </c>
      <c r="G70" s="739"/>
      <c r="I70" s="739">
        <f>'YEAR 2'!P70</f>
        <v>0</v>
      </c>
      <c r="J70" s="739"/>
      <c r="L70" s="739">
        <f>'YEAR 3'!P70</f>
        <v>0</v>
      </c>
      <c r="M70" s="739"/>
      <c r="O70" s="739">
        <f>'YEAR 4'!P70</f>
        <v>0</v>
      </c>
      <c r="P70" s="739"/>
      <c r="R70" s="739">
        <f>'YEAR 5'!P70</f>
        <v>0</v>
      </c>
      <c r="S70" s="739"/>
      <c r="U70" s="405"/>
      <c r="V70" s="774">
        <f>ROUND(F70+I70+L70+O70+R70,0)</f>
        <v>0</v>
      </c>
      <c r="W70" s="774"/>
      <c r="X70" s="406"/>
    </row>
    <row r="71" spans="1:27" x14ac:dyDescent="0.3">
      <c r="D71" s="570">
        <f>'YEAR 1'!D71</f>
        <v>0</v>
      </c>
      <c r="E71" s="115"/>
      <c r="F71" s="739">
        <f>'YEAR 1'!P71</f>
        <v>0</v>
      </c>
      <c r="G71" s="739"/>
      <c r="I71" s="739">
        <f>'YEAR 2'!P71</f>
        <v>0</v>
      </c>
      <c r="J71" s="739"/>
      <c r="L71" s="739">
        <f>'YEAR 3'!P71</f>
        <v>0</v>
      </c>
      <c r="M71" s="739"/>
      <c r="O71" s="739">
        <f>'YEAR 4'!P71</f>
        <v>0</v>
      </c>
      <c r="P71" s="739"/>
      <c r="R71" s="739">
        <f>'YEAR 5'!P71</f>
        <v>0</v>
      </c>
      <c r="S71" s="739"/>
      <c r="U71" s="405"/>
      <c r="V71" s="774">
        <f>ROUND(F71+I71+L71+O71+R71,0)</f>
        <v>0</v>
      </c>
      <c r="W71" s="774"/>
      <c r="X71" s="406"/>
    </row>
    <row r="72" spans="1:27" x14ac:dyDescent="0.3">
      <c r="D72" s="570">
        <f>'YEAR 1'!D72</f>
        <v>0</v>
      </c>
      <c r="E72" s="115"/>
      <c r="F72" s="739">
        <f>'YEAR 1'!P72</f>
        <v>0</v>
      </c>
      <c r="G72" s="739"/>
      <c r="I72" s="739">
        <f>'YEAR 2'!P72</f>
        <v>0</v>
      </c>
      <c r="J72" s="739"/>
      <c r="L72" s="739">
        <f>'YEAR 3'!P72</f>
        <v>0</v>
      </c>
      <c r="M72" s="739"/>
      <c r="O72" s="739">
        <f>'YEAR 4'!P72</f>
        <v>0</v>
      </c>
      <c r="P72" s="739"/>
      <c r="R72" s="739">
        <f>'YEAR 5'!P72</f>
        <v>0</v>
      </c>
      <c r="S72" s="739"/>
      <c r="U72" s="405"/>
      <c r="V72" s="774">
        <f>ROUND(F72+I72+L72+O72+R72,0)</f>
        <v>0</v>
      </c>
      <c r="W72" s="774"/>
      <c r="X72" s="406"/>
    </row>
    <row r="73" spans="1:27" x14ac:dyDescent="0.3">
      <c r="D73" s="570">
        <f>'YEAR 1'!D73</f>
        <v>0</v>
      </c>
      <c r="E73" s="115"/>
      <c r="F73" s="739">
        <f>'YEAR 1'!P73</f>
        <v>0</v>
      </c>
      <c r="G73" s="739"/>
      <c r="I73" s="739">
        <f>'YEAR 2'!P73</f>
        <v>0</v>
      </c>
      <c r="J73" s="739"/>
      <c r="L73" s="739">
        <f>'YEAR 3'!P73</f>
        <v>0</v>
      </c>
      <c r="M73" s="739"/>
      <c r="O73" s="739">
        <f>'YEAR 4'!P73</f>
        <v>0</v>
      </c>
      <c r="P73" s="739"/>
      <c r="R73" s="739">
        <f>'YEAR 5'!P73</f>
        <v>0</v>
      </c>
      <c r="S73" s="739"/>
      <c r="U73" s="405"/>
      <c r="V73" s="774">
        <f>ROUND(F73+I73+L73+O73+R73,0)</f>
        <v>0</v>
      </c>
      <c r="W73" s="774"/>
      <c r="X73" s="406"/>
    </row>
    <row r="74" spans="1:27" x14ac:dyDescent="0.3">
      <c r="D74" s="570">
        <f>'YEAR 1'!D74</f>
        <v>0</v>
      </c>
      <c r="E74" s="115"/>
      <c r="F74" s="739">
        <f>'YEAR 1'!P74</f>
        <v>0</v>
      </c>
      <c r="G74" s="739"/>
      <c r="I74" s="739">
        <f>'YEAR 2'!P74</f>
        <v>0</v>
      </c>
      <c r="J74" s="739"/>
      <c r="L74" s="739">
        <f>'YEAR 3'!P74</f>
        <v>0</v>
      </c>
      <c r="M74" s="739"/>
      <c r="O74" s="739">
        <f>'YEAR 4'!P74</f>
        <v>0</v>
      </c>
      <c r="P74" s="739"/>
      <c r="R74" s="739">
        <f>'YEAR 5'!P74</f>
        <v>0</v>
      </c>
      <c r="S74" s="739"/>
      <c r="U74" s="405"/>
      <c r="V74" s="774">
        <f>ROUND(F74+I74+L74+O74+R74,0)</f>
        <v>0</v>
      </c>
      <c r="W74" s="774"/>
      <c r="X74" s="406"/>
    </row>
    <row r="75" spans="1:27" ht="3" customHeight="1" x14ac:dyDescent="0.3">
      <c r="B75" s="773"/>
      <c r="C75" s="773"/>
      <c r="D75" s="773"/>
      <c r="E75" s="773"/>
      <c r="F75" s="739"/>
      <c r="G75" s="739"/>
      <c r="U75" s="405"/>
      <c r="V75" s="774"/>
      <c r="W75" s="774"/>
      <c r="X75" s="406"/>
    </row>
    <row r="76" spans="1:27" x14ac:dyDescent="0.3">
      <c r="B76" s="552" t="str">
        <f>CONCATENATE("TOTAL ",B69)</f>
        <v>TOTAL EQUIPMENT</v>
      </c>
      <c r="C76" s="553"/>
      <c r="D76" s="556"/>
      <c r="E76" s="556"/>
      <c r="F76" s="795">
        <f>ROUND(SUM(F70:G75),0)</f>
        <v>0</v>
      </c>
      <c r="G76" s="795"/>
      <c r="H76" s="557"/>
      <c r="I76" s="795">
        <f>ROUND(SUM(I70:J75),0)</f>
        <v>0</v>
      </c>
      <c r="J76" s="795"/>
      <c r="K76" s="557"/>
      <c r="L76" s="795">
        <f>ROUND(SUM(L70:M75),0)</f>
        <v>0</v>
      </c>
      <c r="M76" s="795"/>
      <c r="N76" s="557"/>
      <c r="O76" s="795">
        <f>ROUND(SUM(O70:P75),0)</f>
        <v>0</v>
      </c>
      <c r="P76" s="795"/>
      <c r="Q76" s="557"/>
      <c r="R76" s="795">
        <f>ROUND(SUM(R70:S75),0)</f>
        <v>0</v>
      </c>
      <c r="S76" s="795"/>
      <c r="T76" s="557"/>
      <c r="U76" s="558"/>
      <c r="V76" s="795">
        <f>ROUND(SUM(F76:S76),0)</f>
        <v>0</v>
      </c>
      <c r="W76" s="795"/>
      <c r="X76" s="551"/>
      <c r="AA76" s="396">
        <f>ROUND(SUM(V70:W75),0)</f>
        <v>0</v>
      </c>
    </row>
    <row r="77" spans="1:27" ht="3" customHeight="1" x14ac:dyDescent="0.3">
      <c r="D77" s="115"/>
      <c r="E77" s="115"/>
      <c r="U77" s="405"/>
      <c r="X77" s="406"/>
    </row>
    <row r="78" spans="1:27" x14ac:dyDescent="0.3">
      <c r="A78" s="109" t="s">
        <v>670</v>
      </c>
      <c r="B78" s="109" t="s">
        <v>765</v>
      </c>
      <c r="C78" s="109"/>
      <c r="D78" s="115"/>
      <c r="E78" s="115"/>
      <c r="F78" s="295"/>
      <c r="G78" s="295"/>
      <c r="U78" s="405"/>
      <c r="V78" s="395"/>
      <c r="W78" s="395"/>
      <c r="X78" s="410"/>
    </row>
    <row r="79" spans="1:27" x14ac:dyDescent="0.3">
      <c r="A79" s="109"/>
      <c r="B79" s="131" t="s">
        <v>802</v>
      </c>
      <c r="C79" s="109" t="s">
        <v>705</v>
      </c>
      <c r="D79" s="115"/>
      <c r="E79" s="115"/>
      <c r="F79" s="295"/>
      <c r="G79" s="295"/>
      <c r="U79" s="405"/>
      <c r="V79" s="395"/>
      <c r="W79" s="395"/>
      <c r="X79" s="410"/>
    </row>
    <row r="80" spans="1:27" x14ac:dyDescent="0.3">
      <c r="B80" s="125"/>
      <c r="D80" s="127">
        <f>'YEAR 1'!D80</f>
        <v>0</v>
      </c>
      <c r="E80" s="115"/>
      <c r="F80" s="739" t="s">
        <v>842</v>
      </c>
      <c r="G80" s="739"/>
      <c r="I80" s="739" t="s">
        <v>843</v>
      </c>
      <c r="J80" s="739"/>
      <c r="L80" s="739" t="s">
        <v>844</v>
      </c>
      <c r="M80" s="739"/>
      <c r="O80" s="739" t="s">
        <v>845</v>
      </c>
      <c r="P80" s="739"/>
      <c r="R80" s="739" t="s">
        <v>846</v>
      </c>
      <c r="S80" s="739"/>
      <c r="U80" s="405"/>
      <c r="V80" s="774" t="s">
        <v>847</v>
      </c>
      <c r="W80" s="774"/>
      <c r="X80" s="406"/>
    </row>
    <row r="81" spans="2:26" x14ac:dyDescent="0.3">
      <c r="B81" s="125"/>
      <c r="D81" s="115" t="s">
        <v>806</v>
      </c>
      <c r="E81" s="115"/>
      <c r="F81" s="739">
        <f>'YEAR 1'!P81</f>
        <v>0</v>
      </c>
      <c r="G81" s="739"/>
      <c r="I81" s="739">
        <f>'YEAR 2'!P81</f>
        <v>0</v>
      </c>
      <c r="J81" s="739"/>
      <c r="L81" s="739">
        <f>'YEAR 3'!P81</f>
        <v>0</v>
      </c>
      <c r="M81" s="739"/>
      <c r="O81" s="739">
        <f>'YEAR 4'!P81</f>
        <v>0</v>
      </c>
      <c r="P81" s="739"/>
      <c r="R81" s="739">
        <f>'YEAR 5'!P81</f>
        <v>0</v>
      </c>
      <c r="S81" s="739"/>
      <c r="U81" s="405"/>
      <c r="V81" s="774">
        <f>ROUND(SUM(F81:S81),0)</f>
        <v>0</v>
      </c>
      <c r="W81" s="774"/>
      <c r="X81" s="406"/>
    </row>
    <row r="82" spans="2:26" x14ac:dyDescent="0.3">
      <c r="B82" s="125"/>
      <c r="D82" s="115" t="s">
        <v>807</v>
      </c>
      <c r="E82" s="115"/>
      <c r="F82" s="739">
        <f>'YEAR 1'!P82</f>
        <v>0</v>
      </c>
      <c r="G82" s="739"/>
      <c r="I82" s="739">
        <f>'YEAR 2'!P82</f>
        <v>0</v>
      </c>
      <c r="J82" s="739"/>
      <c r="L82" s="739">
        <f>'YEAR 3'!P82</f>
        <v>0</v>
      </c>
      <c r="M82" s="739"/>
      <c r="O82" s="739">
        <f>'YEAR 4'!P82</f>
        <v>0</v>
      </c>
      <c r="P82" s="739"/>
      <c r="R82" s="739">
        <f>'YEAR 5'!P82</f>
        <v>0</v>
      </c>
      <c r="S82" s="739"/>
      <c r="U82" s="405"/>
      <c r="V82" s="774">
        <f>ROUND(SUM(F82:S82),0)</f>
        <v>0</v>
      </c>
      <c r="W82" s="774"/>
      <c r="X82" s="406"/>
    </row>
    <row r="83" spans="2:26" ht="12" customHeight="1" x14ac:dyDescent="0.3">
      <c r="B83" s="125"/>
      <c r="D83" s="115" t="s">
        <v>808</v>
      </c>
      <c r="E83" s="115"/>
      <c r="F83" s="739">
        <f>'YEAR 1'!P83</f>
        <v>0</v>
      </c>
      <c r="G83" s="739"/>
      <c r="I83" s="739">
        <f>'YEAR 2'!P83</f>
        <v>0</v>
      </c>
      <c r="J83" s="739"/>
      <c r="L83" s="739">
        <f>'YEAR 3'!P83</f>
        <v>0</v>
      </c>
      <c r="M83" s="739"/>
      <c r="O83" s="739">
        <f>'YEAR 4'!P83</f>
        <v>0</v>
      </c>
      <c r="P83" s="739"/>
      <c r="R83" s="739">
        <f>'YEAR 5'!P83</f>
        <v>0</v>
      </c>
      <c r="S83" s="739"/>
      <c r="U83" s="405"/>
      <c r="V83" s="774">
        <f>ROUND(SUM(F83:S83),0)</f>
        <v>0</v>
      </c>
      <c r="W83" s="774"/>
      <c r="X83" s="406"/>
    </row>
    <row r="84" spans="2:26" ht="12" customHeight="1" x14ac:dyDescent="0.3">
      <c r="B84" s="125"/>
      <c r="D84" s="531" t="s">
        <v>810</v>
      </c>
      <c r="E84" s="115"/>
      <c r="F84" s="739">
        <f>'YEAR 1'!P84</f>
        <v>0</v>
      </c>
      <c r="G84" s="739"/>
      <c r="I84" s="739">
        <f>'YEAR 2'!P84</f>
        <v>0</v>
      </c>
      <c r="J84" s="739"/>
      <c r="L84" s="739">
        <f>'YEAR 3'!P84</f>
        <v>0</v>
      </c>
      <c r="M84" s="739"/>
      <c r="O84" s="739">
        <f>'YEAR 4'!P84</f>
        <v>0</v>
      </c>
      <c r="P84" s="739"/>
      <c r="R84" s="739">
        <f>'YEAR 5'!P84</f>
        <v>0</v>
      </c>
      <c r="S84" s="739"/>
      <c r="U84" s="405"/>
      <c r="V84" s="774">
        <f>ROUND(SUM(F84:S84),0)</f>
        <v>0</v>
      </c>
      <c r="W84" s="774"/>
      <c r="X84" s="406"/>
    </row>
    <row r="85" spans="2:26" ht="3" customHeight="1" x14ac:dyDescent="0.3">
      <c r="B85" s="125"/>
      <c r="D85" s="127"/>
      <c r="E85" s="115"/>
      <c r="U85" s="405"/>
      <c r="X85" s="406"/>
    </row>
    <row r="86" spans="2:26" ht="12" customHeight="1" x14ac:dyDescent="0.3">
      <c r="B86" s="125"/>
      <c r="D86" s="127">
        <f>'YEAR 1'!D86</f>
        <v>0</v>
      </c>
      <c r="E86" s="115"/>
      <c r="U86" s="405"/>
      <c r="X86" s="406"/>
    </row>
    <row r="87" spans="2:26" ht="12" customHeight="1" x14ac:dyDescent="0.3">
      <c r="B87" s="125"/>
      <c r="D87" s="115" t="s">
        <v>806</v>
      </c>
      <c r="E87" s="115"/>
      <c r="F87" s="739">
        <f>'YEAR 1'!P87</f>
        <v>0</v>
      </c>
      <c r="G87" s="739"/>
      <c r="I87" s="739">
        <f>'YEAR 2'!P87</f>
        <v>0</v>
      </c>
      <c r="J87" s="739"/>
      <c r="L87" s="739">
        <f>'YEAR 3'!P87</f>
        <v>0</v>
      </c>
      <c r="M87" s="739"/>
      <c r="O87" s="739">
        <f>'YEAR 4'!P87</f>
        <v>0</v>
      </c>
      <c r="P87" s="739"/>
      <c r="R87" s="739">
        <f>'YEAR 5'!P87</f>
        <v>0</v>
      </c>
      <c r="S87" s="739"/>
      <c r="U87" s="405"/>
      <c r="V87" s="774">
        <f>ROUND(SUM(F87:S87),0)</f>
        <v>0</v>
      </c>
      <c r="W87" s="774"/>
      <c r="X87" s="406"/>
    </row>
    <row r="88" spans="2:26" ht="12" customHeight="1" x14ac:dyDescent="0.3">
      <c r="B88" s="125"/>
      <c r="D88" s="115" t="s">
        <v>807</v>
      </c>
      <c r="E88" s="115"/>
      <c r="F88" s="739">
        <f>'YEAR 1'!P88</f>
        <v>0</v>
      </c>
      <c r="G88" s="739"/>
      <c r="I88" s="739">
        <f>'YEAR 2'!P88</f>
        <v>0</v>
      </c>
      <c r="J88" s="739"/>
      <c r="L88" s="739">
        <f>'YEAR 3'!P88</f>
        <v>0</v>
      </c>
      <c r="M88" s="739"/>
      <c r="O88" s="739">
        <f>'YEAR 4'!P88</f>
        <v>0</v>
      </c>
      <c r="P88" s="739"/>
      <c r="R88" s="739">
        <f>'YEAR 5'!P88</f>
        <v>0</v>
      </c>
      <c r="S88" s="739"/>
      <c r="U88" s="405"/>
      <c r="V88" s="774">
        <f>ROUND(SUM(F88:S88),0)</f>
        <v>0</v>
      </c>
      <c r="W88" s="774"/>
      <c r="X88" s="406"/>
    </row>
    <row r="89" spans="2:26" ht="12" customHeight="1" x14ac:dyDescent="0.3">
      <c r="B89" s="125"/>
      <c r="D89" s="115" t="s">
        <v>808</v>
      </c>
      <c r="E89" s="115"/>
      <c r="F89" s="739">
        <f>'YEAR 1'!P89</f>
        <v>0</v>
      </c>
      <c r="G89" s="739"/>
      <c r="I89" s="739">
        <f>'YEAR 2'!P89</f>
        <v>0</v>
      </c>
      <c r="J89" s="739"/>
      <c r="L89" s="739">
        <f>'YEAR 3'!P89</f>
        <v>0</v>
      </c>
      <c r="M89" s="739"/>
      <c r="O89" s="739">
        <f>'YEAR 4'!P89</f>
        <v>0</v>
      </c>
      <c r="P89" s="739"/>
      <c r="R89" s="739">
        <f>'YEAR 5'!P89</f>
        <v>0</v>
      </c>
      <c r="S89" s="739"/>
      <c r="U89" s="405"/>
      <c r="V89" s="774">
        <f>ROUND(SUM(F89:S89),0)</f>
        <v>0</v>
      </c>
      <c r="W89" s="774"/>
      <c r="X89" s="406"/>
    </row>
    <row r="90" spans="2:26" ht="12" customHeight="1" x14ac:dyDescent="0.3">
      <c r="B90" s="125"/>
      <c r="C90" s="482"/>
      <c r="D90" s="531" t="s">
        <v>810</v>
      </c>
      <c r="E90" s="115"/>
      <c r="F90" s="739">
        <f>'YEAR 1'!P90</f>
        <v>0</v>
      </c>
      <c r="G90" s="739"/>
      <c r="I90" s="739">
        <f>'YEAR 2'!P90</f>
        <v>0</v>
      </c>
      <c r="J90" s="739"/>
      <c r="L90" s="739">
        <f>'YEAR 3'!P90</f>
        <v>0</v>
      </c>
      <c r="M90" s="739"/>
      <c r="O90" s="739">
        <f>'YEAR 4'!P90</f>
        <v>0</v>
      </c>
      <c r="P90" s="739"/>
      <c r="R90" s="739">
        <f>'YEAR 5'!P90</f>
        <v>0</v>
      </c>
      <c r="S90" s="739"/>
      <c r="U90" s="405"/>
      <c r="V90" s="774">
        <f>ROUND(SUM(F90:S90),0)</f>
        <v>0</v>
      </c>
      <c r="W90" s="774"/>
      <c r="X90" s="406"/>
    </row>
    <row r="91" spans="2:26" ht="3" customHeight="1" x14ac:dyDescent="0.3">
      <c r="B91" s="125"/>
      <c r="D91" s="132"/>
      <c r="E91" s="132"/>
      <c r="F91" s="763"/>
      <c r="G91" s="763"/>
      <c r="H91" s="296"/>
      <c r="I91" s="296"/>
      <c r="J91" s="296"/>
      <c r="K91" s="296"/>
      <c r="L91" s="296"/>
      <c r="M91" s="296"/>
      <c r="N91" s="296"/>
      <c r="O91" s="296"/>
      <c r="P91" s="296"/>
      <c r="Q91" s="296"/>
      <c r="R91" s="296"/>
      <c r="S91" s="296"/>
      <c r="T91" s="296"/>
      <c r="U91" s="409"/>
      <c r="V91" s="781"/>
      <c r="W91" s="781"/>
      <c r="X91" s="406"/>
    </row>
    <row r="92" spans="2:26" x14ac:dyDescent="0.3">
      <c r="B92" s="125"/>
      <c r="C92" s="109" t="str">
        <f>"Subtotal "&amp;C79</f>
        <v>Subtotal Domestic Travel</v>
      </c>
      <c r="D92" s="115"/>
      <c r="E92" s="115"/>
      <c r="F92" s="774">
        <f>ROUND(SUM(F80:G91),0)</f>
        <v>0</v>
      </c>
      <c r="G92" s="774"/>
      <c r="I92" s="774">
        <f>ROUND(SUM(I80:J91),0)</f>
        <v>0</v>
      </c>
      <c r="J92" s="774"/>
      <c r="L92" s="774">
        <f>ROUND(SUM(L80:M91),0)</f>
        <v>0</v>
      </c>
      <c r="M92" s="774"/>
      <c r="O92" s="774">
        <f>ROUND(SUM(O80:P91),0)</f>
        <v>0</v>
      </c>
      <c r="P92" s="774"/>
      <c r="R92" s="774">
        <f>ROUND(SUM(R80:S91),0)</f>
        <v>0</v>
      </c>
      <c r="S92" s="774"/>
      <c r="U92" s="405"/>
      <c r="V92" s="774">
        <f>ROUND(SUM(F92:S92),0)</f>
        <v>0</v>
      </c>
      <c r="W92" s="774"/>
      <c r="X92" s="406"/>
      <c r="Z92" s="398">
        <f>ROUND(SUM(V80:W91),0)</f>
        <v>0</v>
      </c>
    </row>
    <row r="93" spans="2:26" ht="3" customHeight="1" x14ac:dyDescent="0.3">
      <c r="B93" s="125"/>
      <c r="D93" s="115"/>
      <c r="E93" s="115"/>
      <c r="U93" s="405"/>
      <c r="X93" s="406"/>
    </row>
    <row r="94" spans="2:26" x14ac:dyDescent="0.3">
      <c r="B94" s="131" t="s">
        <v>811</v>
      </c>
      <c r="C94" s="109" t="s">
        <v>707</v>
      </c>
      <c r="D94" s="115"/>
      <c r="E94" s="115"/>
      <c r="U94" s="405"/>
      <c r="X94" s="406"/>
    </row>
    <row r="95" spans="2:26" x14ac:dyDescent="0.3">
      <c r="B95" s="125"/>
      <c r="D95" s="127">
        <f>'YEAR 1'!D95</f>
        <v>0</v>
      </c>
      <c r="E95" s="115"/>
      <c r="F95" s="739"/>
      <c r="G95" s="739"/>
      <c r="I95" s="739"/>
      <c r="J95" s="739"/>
      <c r="L95" s="739"/>
      <c r="M95" s="739"/>
      <c r="O95" s="739">
        <f>'YEAR 4'!P95</f>
        <v>0</v>
      </c>
      <c r="P95" s="739"/>
      <c r="R95" s="739">
        <f>'YEAR 5'!P95</f>
        <v>0</v>
      </c>
      <c r="S95" s="739"/>
      <c r="U95" s="405"/>
      <c r="V95" s="774"/>
      <c r="W95" s="774"/>
      <c r="X95" s="406"/>
    </row>
    <row r="96" spans="2:26" x14ac:dyDescent="0.3">
      <c r="B96" s="125"/>
      <c r="D96" s="115" t="s">
        <v>806</v>
      </c>
      <c r="E96" s="115"/>
      <c r="F96" s="739">
        <f>'YEAR 1'!P96</f>
        <v>0</v>
      </c>
      <c r="G96" s="739"/>
      <c r="I96" s="739">
        <f>'YEAR 2'!P96</f>
        <v>0</v>
      </c>
      <c r="J96" s="739"/>
      <c r="L96" s="739">
        <f>'YEAR 3'!P96</f>
        <v>0</v>
      </c>
      <c r="M96" s="739"/>
      <c r="O96" s="739">
        <f>'YEAR 4'!P96</f>
        <v>0</v>
      </c>
      <c r="P96" s="739"/>
      <c r="R96" s="739">
        <f>'YEAR 5'!P96</f>
        <v>0</v>
      </c>
      <c r="S96" s="739"/>
      <c r="U96" s="405"/>
      <c r="V96" s="774">
        <f>ROUND(SUM(F96:S96),0)</f>
        <v>0</v>
      </c>
      <c r="W96" s="774"/>
      <c r="X96" s="406"/>
    </row>
    <row r="97" spans="1:27" x14ac:dyDescent="0.3">
      <c r="B97" s="125"/>
      <c r="D97" s="115" t="s">
        <v>807</v>
      </c>
      <c r="E97" s="115"/>
      <c r="F97" s="739">
        <f>'YEAR 1'!P97</f>
        <v>0</v>
      </c>
      <c r="G97" s="739"/>
      <c r="I97" s="739">
        <f>'YEAR 2'!P97</f>
        <v>0</v>
      </c>
      <c r="J97" s="739"/>
      <c r="L97" s="739">
        <f>'YEAR 3'!P97</f>
        <v>0</v>
      </c>
      <c r="M97" s="739"/>
      <c r="O97" s="739">
        <f>'YEAR 4'!P97</f>
        <v>0</v>
      </c>
      <c r="P97" s="739"/>
      <c r="R97" s="739">
        <f>'YEAR 5'!P97</f>
        <v>0</v>
      </c>
      <c r="S97" s="739"/>
      <c r="U97" s="405"/>
      <c r="V97" s="774">
        <f>ROUND(SUM(F97:S97),0)</f>
        <v>0</v>
      </c>
      <c r="W97" s="774"/>
      <c r="X97" s="406"/>
    </row>
    <row r="98" spans="1:27" x14ac:dyDescent="0.3">
      <c r="B98" s="125"/>
      <c r="D98" s="115" t="s">
        <v>808</v>
      </c>
      <c r="E98" s="115"/>
      <c r="F98" s="739">
        <f>'YEAR 1'!P98</f>
        <v>0</v>
      </c>
      <c r="G98" s="739"/>
      <c r="I98" s="739">
        <f>'YEAR 2'!P98</f>
        <v>0</v>
      </c>
      <c r="J98" s="739"/>
      <c r="L98" s="739">
        <f>'YEAR 3'!P98</f>
        <v>0</v>
      </c>
      <c r="M98" s="739"/>
      <c r="O98" s="739">
        <f>'YEAR 4'!P98</f>
        <v>0</v>
      </c>
      <c r="P98" s="739"/>
      <c r="R98" s="739">
        <f>'YEAR 5'!P98</f>
        <v>0</v>
      </c>
      <c r="S98" s="739"/>
      <c r="U98" s="405"/>
      <c r="V98" s="774">
        <f>ROUND(SUM(F98:S98),0)</f>
        <v>0</v>
      </c>
      <c r="W98" s="774"/>
      <c r="X98" s="406"/>
    </row>
    <row r="99" spans="1:27" x14ac:dyDescent="0.3">
      <c r="B99" s="125"/>
      <c r="C99" s="482"/>
      <c r="D99" s="531" t="s">
        <v>810</v>
      </c>
      <c r="E99" s="115"/>
      <c r="F99" s="739">
        <f>'YEAR 1'!P99</f>
        <v>0</v>
      </c>
      <c r="G99" s="739"/>
      <c r="I99" s="739">
        <f>'YEAR 2'!P99</f>
        <v>0</v>
      </c>
      <c r="J99" s="739"/>
      <c r="L99" s="739">
        <f>'YEAR 3'!P99</f>
        <v>0</v>
      </c>
      <c r="M99" s="739"/>
      <c r="O99" s="739">
        <f>'YEAR 4'!P99</f>
        <v>0</v>
      </c>
      <c r="P99" s="739"/>
      <c r="R99" s="739">
        <f>'YEAR 5'!P99</f>
        <v>0</v>
      </c>
      <c r="S99" s="739"/>
      <c r="U99" s="405"/>
      <c r="V99" s="774">
        <f>ROUND(SUM(F99:S99),0)</f>
        <v>0</v>
      </c>
      <c r="W99" s="774"/>
      <c r="X99" s="406"/>
    </row>
    <row r="100" spans="1:27" ht="3" customHeight="1" x14ac:dyDescent="0.3">
      <c r="B100" s="125"/>
      <c r="D100" s="132"/>
      <c r="E100" s="132"/>
      <c r="F100" s="763"/>
      <c r="G100" s="763"/>
      <c r="H100" s="296"/>
      <c r="I100" s="296"/>
      <c r="J100" s="296"/>
      <c r="K100" s="296"/>
      <c r="L100" s="296"/>
      <c r="M100" s="296"/>
      <c r="N100" s="296"/>
      <c r="O100" s="296"/>
      <c r="P100" s="296"/>
      <c r="Q100" s="296"/>
      <c r="R100" s="296"/>
      <c r="S100" s="296"/>
      <c r="T100" s="296"/>
      <c r="U100" s="409"/>
      <c r="V100" s="781"/>
      <c r="W100" s="781"/>
      <c r="X100" s="406"/>
    </row>
    <row r="101" spans="1:27" x14ac:dyDescent="0.3">
      <c r="B101" s="125"/>
      <c r="C101" s="109" t="str">
        <f>"Subtotal "&amp;C94</f>
        <v>Subtotal International Travel</v>
      </c>
      <c r="D101" s="115"/>
      <c r="E101" s="115"/>
      <c r="F101" s="774">
        <f>ROUND(SUM(F95:G100),0)</f>
        <v>0</v>
      </c>
      <c r="G101" s="774"/>
      <c r="I101" s="774">
        <f>ROUND(SUM(I95:J100),0)</f>
        <v>0</v>
      </c>
      <c r="J101" s="774"/>
      <c r="L101" s="774">
        <f>ROUND(SUM(L95:M100),0)</f>
        <v>0</v>
      </c>
      <c r="M101" s="774"/>
      <c r="O101" s="774">
        <f>ROUND(SUM(O95:P100),0)</f>
        <v>0</v>
      </c>
      <c r="P101" s="774"/>
      <c r="R101" s="774">
        <f>ROUND(SUM(R95:S100),0)</f>
        <v>0</v>
      </c>
      <c r="S101" s="774"/>
      <c r="U101" s="405"/>
      <c r="V101" s="774">
        <f>ROUND(SUM(F101:S101),0)</f>
        <v>0</v>
      </c>
      <c r="W101" s="774"/>
      <c r="X101" s="406"/>
      <c r="Z101" s="398">
        <f>ROUND(SUM(V95:W100),0)</f>
        <v>0</v>
      </c>
    </row>
    <row r="102" spans="1:27" ht="3" customHeight="1" x14ac:dyDescent="0.3">
      <c r="B102" s="772"/>
      <c r="C102" s="772"/>
      <c r="D102" s="772"/>
      <c r="E102" s="772"/>
      <c r="F102" s="763"/>
      <c r="G102" s="763"/>
      <c r="H102" s="296"/>
      <c r="I102" s="296"/>
      <c r="J102" s="296"/>
      <c r="K102" s="296"/>
      <c r="L102" s="296"/>
      <c r="M102" s="296"/>
      <c r="N102" s="296"/>
      <c r="O102" s="296"/>
      <c r="P102" s="296"/>
      <c r="Q102" s="296"/>
      <c r="R102" s="296"/>
      <c r="S102" s="296"/>
      <c r="T102" s="296"/>
      <c r="U102" s="409"/>
      <c r="V102" s="781"/>
      <c r="W102" s="781"/>
      <c r="X102" s="406"/>
    </row>
    <row r="103" spans="1:27" x14ac:dyDescent="0.3">
      <c r="B103" s="546" t="str">
        <f>"TOTAL "&amp;B78</f>
        <v>TOTAL TRAVEL</v>
      </c>
      <c r="C103" s="547"/>
      <c r="D103" s="559"/>
      <c r="E103" s="559"/>
      <c r="F103" s="790">
        <f>ROUND(F101+F92,0)</f>
        <v>0</v>
      </c>
      <c r="G103" s="790"/>
      <c r="H103" s="560"/>
      <c r="I103" s="790">
        <f>ROUND(I101+I92,0)</f>
        <v>0</v>
      </c>
      <c r="J103" s="790"/>
      <c r="K103" s="560"/>
      <c r="L103" s="790">
        <f>ROUND(L101+L92,0)</f>
        <v>0</v>
      </c>
      <c r="M103" s="790"/>
      <c r="N103" s="560"/>
      <c r="O103" s="790">
        <f>ROUND(O101+O92,0)</f>
        <v>0</v>
      </c>
      <c r="P103" s="790"/>
      <c r="Q103" s="560"/>
      <c r="R103" s="790">
        <f>ROUND(R101+R92,0)</f>
        <v>0</v>
      </c>
      <c r="S103" s="790"/>
      <c r="T103" s="560"/>
      <c r="U103" s="561"/>
      <c r="V103" s="790">
        <f>ROUND(SUM(F103:S103),0)</f>
        <v>0</v>
      </c>
      <c r="W103" s="790"/>
      <c r="X103" s="551"/>
      <c r="AA103" s="396">
        <f>ROUND(Z92+Z101,0)</f>
        <v>0</v>
      </c>
    </row>
    <row r="104" spans="1:27" ht="3" customHeight="1" x14ac:dyDescent="0.3">
      <c r="D104" s="115"/>
      <c r="E104" s="115"/>
      <c r="U104" s="405"/>
      <c r="X104" s="406"/>
    </row>
    <row r="105" spans="1:27" x14ac:dyDescent="0.3">
      <c r="A105" s="109" t="s">
        <v>672</v>
      </c>
      <c r="B105" s="109" t="s">
        <v>813</v>
      </c>
      <c r="D105" s="115"/>
      <c r="E105" s="115"/>
      <c r="U105" s="405"/>
      <c r="X105" s="406"/>
    </row>
    <row r="106" spans="1:27" x14ac:dyDescent="0.3">
      <c r="A106" s="109"/>
      <c r="B106" s="131" t="s">
        <v>802</v>
      </c>
      <c r="C106" s="109" t="s">
        <v>814</v>
      </c>
      <c r="D106" s="115"/>
      <c r="E106" s="115"/>
      <c r="U106" s="405"/>
      <c r="X106" s="406"/>
    </row>
    <row r="107" spans="1:27" x14ac:dyDescent="0.3">
      <c r="B107" s="125"/>
      <c r="D107" s="115">
        <f>'YEAR 1'!D107</f>
        <v>0</v>
      </c>
      <c r="E107" s="115"/>
      <c r="F107" s="739">
        <f>'YEAR 1'!P107</f>
        <v>0</v>
      </c>
      <c r="G107" s="739"/>
      <c r="I107" s="739">
        <f>'YEAR 2'!P107</f>
        <v>0</v>
      </c>
      <c r="J107" s="739"/>
      <c r="L107" s="739">
        <f>'YEAR 3'!P107</f>
        <v>0</v>
      </c>
      <c r="M107" s="739"/>
      <c r="O107" s="739">
        <f>'YEAR 4'!P107</f>
        <v>0</v>
      </c>
      <c r="P107" s="739"/>
      <c r="R107" s="739">
        <f>'YEAR 5'!P107</f>
        <v>0</v>
      </c>
      <c r="S107" s="739"/>
      <c r="U107" s="405"/>
      <c r="V107" s="774">
        <f>ROUND(SUM(F107:S107),0)</f>
        <v>0</v>
      </c>
      <c r="W107" s="774"/>
      <c r="X107" s="406"/>
    </row>
    <row r="108" spans="1:27" x14ac:dyDescent="0.3">
      <c r="B108" s="125"/>
      <c r="D108" s="115">
        <f>'YEAR 1'!D108</f>
        <v>0</v>
      </c>
      <c r="E108" s="115"/>
      <c r="F108" s="739">
        <f>'YEAR 1'!P108</f>
        <v>0</v>
      </c>
      <c r="G108" s="739"/>
      <c r="I108" s="739">
        <f>'YEAR 2'!P108</f>
        <v>0</v>
      </c>
      <c r="J108" s="739"/>
      <c r="L108" s="739">
        <f>'YEAR 3'!P108</f>
        <v>0</v>
      </c>
      <c r="M108" s="739"/>
      <c r="O108" s="739">
        <f>'YEAR 4'!P108</f>
        <v>0</v>
      </c>
      <c r="P108" s="739"/>
      <c r="R108" s="739">
        <f>'YEAR 5'!P108</f>
        <v>0</v>
      </c>
      <c r="S108" s="739"/>
      <c r="U108" s="405"/>
      <c r="V108" s="774">
        <f>ROUND(SUM(F108:S108),0)</f>
        <v>0</v>
      </c>
      <c r="W108" s="774"/>
      <c r="X108" s="406"/>
    </row>
    <row r="109" spans="1:27" x14ac:dyDescent="0.3">
      <c r="B109" s="125"/>
      <c r="D109" s="115">
        <f>'YEAR 1'!D109</f>
        <v>0</v>
      </c>
      <c r="E109" s="115"/>
      <c r="F109" s="739">
        <f>'YEAR 1'!P109</f>
        <v>0</v>
      </c>
      <c r="G109" s="739"/>
      <c r="I109" s="739">
        <f>'YEAR 2'!P109</f>
        <v>0</v>
      </c>
      <c r="J109" s="739"/>
      <c r="L109" s="739">
        <f>'YEAR 3'!P109</f>
        <v>0</v>
      </c>
      <c r="M109" s="739"/>
      <c r="O109" s="739">
        <f>'YEAR 4'!P109</f>
        <v>0</v>
      </c>
      <c r="P109" s="739"/>
      <c r="R109" s="739">
        <f>'YEAR 5'!P109</f>
        <v>0</v>
      </c>
      <c r="S109" s="739"/>
      <c r="U109" s="405"/>
      <c r="V109" s="774">
        <f>ROUND(SUM(F109:S109),0)</f>
        <v>0</v>
      </c>
      <c r="W109" s="774"/>
      <c r="X109" s="406"/>
    </row>
    <row r="110" spans="1:27" x14ac:dyDescent="0.3">
      <c r="B110" s="125"/>
      <c r="D110" s="115">
        <f>'YEAR 1'!D110</f>
        <v>0</v>
      </c>
      <c r="E110" s="115"/>
      <c r="F110" s="739">
        <f>'YEAR 1'!P110</f>
        <v>0</v>
      </c>
      <c r="G110" s="739"/>
      <c r="I110" s="739">
        <f>'YEAR 2'!P110</f>
        <v>0</v>
      </c>
      <c r="J110" s="739"/>
      <c r="L110" s="739">
        <f>'YEAR 3'!P110</f>
        <v>0</v>
      </c>
      <c r="M110" s="739"/>
      <c r="O110" s="739">
        <f>'YEAR 4'!P110</f>
        <v>0</v>
      </c>
      <c r="P110" s="739"/>
      <c r="R110" s="739">
        <f>'YEAR 5'!P110</f>
        <v>0</v>
      </c>
      <c r="S110" s="739"/>
      <c r="U110" s="405"/>
      <c r="V110" s="774">
        <f>ROUND(SUM(F110:S110),0)</f>
        <v>0</v>
      </c>
      <c r="W110" s="774"/>
      <c r="X110" s="406"/>
    </row>
    <row r="111" spans="1:27" x14ac:dyDescent="0.3">
      <c r="B111" s="125"/>
      <c r="D111" s="115">
        <f>'YEAR 1'!D111</f>
        <v>0</v>
      </c>
      <c r="E111" s="115"/>
      <c r="F111" s="739">
        <f>'YEAR 1'!P111</f>
        <v>0</v>
      </c>
      <c r="G111" s="739"/>
      <c r="I111" s="739">
        <f>'YEAR 2'!P111</f>
        <v>0</v>
      </c>
      <c r="J111" s="739"/>
      <c r="L111" s="739">
        <f>'YEAR 3'!P111</f>
        <v>0</v>
      </c>
      <c r="M111" s="739"/>
      <c r="O111" s="739">
        <f>'YEAR 4'!P111</f>
        <v>0</v>
      </c>
      <c r="P111" s="739"/>
      <c r="R111" s="739">
        <f>'YEAR 5'!P111</f>
        <v>0</v>
      </c>
      <c r="S111" s="739"/>
      <c r="U111" s="405"/>
      <c r="V111" s="774">
        <f>ROUND(SUM(F111:S111),0)</f>
        <v>0</v>
      </c>
      <c r="W111" s="774"/>
      <c r="X111" s="406"/>
    </row>
    <row r="112" spans="1:27" ht="4.5" customHeight="1" x14ac:dyDescent="0.3">
      <c r="B112" s="125"/>
      <c r="D112" s="132"/>
      <c r="E112" s="132"/>
      <c r="F112" s="763"/>
      <c r="G112" s="763"/>
      <c r="H112" s="296"/>
      <c r="I112" s="296"/>
      <c r="J112" s="296"/>
      <c r="K112" s="296"/>
      <c r="L112" s="296"/>
      <c r="M112" s="296"/>
      <c r="N112" s="296"/>
      <c r="O112" s="296"/>
      <c r="P112" s="296"/>
      <c r="Q112" s="296"/>
      <c r="R112" s="296"/>
      <c r="S112" s="296"/>
      <c r="T112" s="296"/>
      <c r="U112" s="409"/>
      <c r="V112" s="781"/>
      <c r="W112" s="781"/>
      <c r="X112" s="406"/>
    </row>
    <row r="113" spans="1:26" x14ac:dyDescent="0.3">
      <c r="B113" s="125"/>
      <c r="C113" s="109" t="str">
        <f>"Subtotal "&amp;C106</f>
        <v>Subtotal Tuition/Fees/Health Insurance</v>
      </c>
      <c r="D113" s="115"/>
      <c r="E113" s="115"/>
      <c r="F113" s="774">
        <f>ROUND(SUM(F107:G112),0)</f>
        <v>0</v>
      </c>
      <c r="G113" s="774"/>
      <c r="I113" s="774">
        <f>ROUND(SUM(I107:J112),0)</f>
        <v>0</v>
      </c>
      <c r="J113" s="774"/>
      <c r="L113" s="774">
        <f>ROUND(SUM(L107:M112),0)</f>
        <v>0</v>
      </c>
      <c r="M113" s="774"/>
      <c r="O113" s="774">
        <f>ROUND(SUM(O107:P112),0)</f>
        <v>0</v>
      </c>
      <c r="P113" s="774"/>
      <c r="R113" s="774">
        <f>ROUND(SUM(R107:S112),0)</f>
        <v>0</v>
      </c>
      <c r="S113" s="774"/>
      <c r="U113" s="405"/>
      <c r="V113" s="774">
        <f>ROUND(SUM(F113:S113),0)</f>
        <v>0</v>
      </c>
      <c r="W113" s="774"/>
      <c r="X113" s="406"/>
      <c r="Z113" s="398">
        <f>ROUND(SUM(V107:W112),0)</f>
        <v>0</v>
      </c>
    </row>
    <row r="114" spans="1:26" ht="3.75" customHeight="1" x14ac:dyDescent="0.3">
      <c r="B114" s="125"/>
      <c r="C114" s="109"/>
      <c r="D114" s="115"/>
      <c r="E114" s="115"/>
      <c r="F114" s="278"/>
      <c r="G114" s="278"/>
      <c r="U114" s="405"/>
      <c r="X114" s="406"/>
    </row>
    <row r="115" spans="1:26" x14ac:dyDescent="0.3">
      <c r="A115" s="109"/>
      <c r="B115" s="131" t="s">
        <v>811</v>
      </c>
      <c r="C115" s="109" t="s">
        <v>713</v>
      </c>
      <c r="D115" s="115"/>
      <c r="E115" s="115"/>
      <c r="U115" s="405"/>
      <c r="X115" s="406"/>
    </row>
    <row r="116" spans="1:26" x14ac:dyDescent="0.3">
      <c r="B116" s="125"/>
      <c r="D116" s="115">
        <f>'YEAR 1'!D116</f>
        <v>0</v>
      </c>
      <c r="E116" s="115"/>
      <c r="F116" s="739">
        <f>'YEAR 1'!P116</f>
        <v>0</v>
      </c>
      <c r="G116" s="739"/>
      <c r="I116" s="739">
        <f>'YEAR 2'!P116</f>
        <v>0</v>
      </c>
      <c r="J116" s="739"/>
      <c r="L116" s="739">
        <f>'YEAR 3'!P116</f>
        <v>0</v>
      </c>
      <c r="M116" s="739"/>
      <c r="O116" s="739">
        <f>'YEAR 4'!P116</f>
        <v>0</v>
      </c>
      <c r="P116" s="739"/>
      <c r="R116" s="739">
        <f>'YEAR 5'!P116</f>
        <v>0</v>
      </c>
      <c r="S116" s="739"/>
      <c r="U116" s="405"/>
      <c r="V116" s="774">
        <f>ROUND(SUM(F116:S116),0)</f>
        <v>0</v>
      </c>
      <c r="W116" s="774"/>
      <c r="X116" s="406"/>
    </row>
    <row r="117" spans="1:26" x14ac:dyDescent="0.3">
      <c r="B117" s="125"/>
      <c r="D117" s="115">
        <f>'YEAR 1'!D117</f>
        <v>0</v>
      </c>
      <c r="E117" s="115"/>
      <c r="F117" s="739">
        <f>'YEAR 1'!P117</f>
        <v>0</v>
      </c>
      <c r="G117" s="739"/>
      <c r="I117" s="739">
        <f>'YEAR 2'!P117</f>
        <v>0</v>
      </c>
      <c r="J117" s="739"/>
      <c r="L117" s="739">
        <f>'YEAR 3'!P117</f>
        <v>0</v>
      </c>
      <c r="M117" s="739"/>
      <c r="O117" s="739">
        <f>'YEAR 4'!P117</f>
        <v>0</v>
      </c>
      <c r="P117" s="739"/>
      <c r="R117" s="739">
        <f>'YEAR 5'!P117</f>
        <v>0</v>
      </c>
      <c r="S117" s="739"/>
      <c r="U117" s="405"/>
      <c r="V117" s="774">
        <f>ROUND(SUM(F117:S117),0)</f>
        <v>0</v>
      </c>
      <c r="W117" s="774"/>
      <c r="X117" s="406"/>
    </row>
    <row r="118" spans="1:26" x14ac:dyDescent="0.3">
      <c r="B118" s="125"/>
      <c r="D118" s="115">
        <f>'YEAR 1'!D118</f>
        <v>0</v>
      </c>
      <c r="E118" s="115"/>
      <c r="F118" s="739">
        <f>'YEAR 1'!P118</f>
        <v>0</v>
      </c>
      <c r="G118" s="739"/>
      <c r="I118" s="739">
        <f>'YEAR 2'!P118</f>
        <v>0</v>
      </c>
      <c r="J118" s="739"/>
      <c r="L118" s="739">
        <f>'YEAR 3'!P118</f>
        <v>0</v>
      </c>
      <c r="M118" s="739"/>
      <c r="O118" s="739">
        <f>'YEAR 4'!P118</f>
        <v>0</v>
      </c>
      <c r="P118" s="739"/>
      <c r="R118" s="739">
        <f>'YEAR 5'!P118</f>
        <v>0</v>
      </c>
      <c r="S118" s="739"/>
      <c r="U118" s="405"/>
      <c r="V118" s="774">
        <f>ROUND(SUM(F118:S118),0)</f>
        <v>0</v>
      </c>
      <c r="W118" s="774"/>
      <c r="X118" s="406"/>
    </row>
    <row r="119" spans="1:26" x14ac:dyDescent="0.3">
      <c r="B119" s="125"/>
      <c r="D119" s="115">
        <f>'YEAR 1'!D119</f>
        <v>0</v>
      </c>
      <c r="E119" s="115"/>
      <c r="F119" s="739">
        <f>'YEAR 1'!P119</f>
        <v>0</v>
      </c>
      <c r="G119" s="739"/>
      <c r="I119" s="739">
        <f>'YEAR 2'!P119</f>
        <v>0</v>
      </c>
      <c r="J119" s="739"/>
      <c r="L119" s="739">
        <f>'YEAR 3'!P119</f>
        <v>0</v>
      </c>
      <c r="M119" s="739"/>
      <c r="O119" s="739">
        <f>'YEAR 4'!P119</f>
        <v>0</v>
      </c>
      <c r="P119" s="739"/>
      <c r="R119" s="739">
        <f>'YEAR 5'!P119</f>
        <v>0</v>
      </c>
      <c r="S119" s="739"/>
      <c r="U119" s="405"/>
      <c r="V119" s="774">
        <f>ROUND(SUM(F119:S119),0)</f>
        <v>0</v>
      </c>
      <c r="W119" s="774"/>
      <c r="X119" s="406"/>
    </row>
    <row r="120" spans="1:26" x14ac:dyDescent="0.3">
      <c r="B120" s="125"/>
      <c r="D120" s="115">
        <f>'YEAR 1'!D120</f>
        <v>0</v>
      </c>
      <c r="E120" s="115"/>
      <c r="F120" s="739">
        <f>'YEAR 1'!P120</f>
        <v>0</v>
      </c>
      <c r="G120" s="739"/>
      <c r="I120" s="739">
        <f>'YEAR 2'!P120</f>
        <v>0</v>
      </c>
      <c r="J120" s="739"/>
      <c r="L120" s="739">
        <f>'YEAR 3'!P120</f>
        <v>0</v>
      </c>
      <c r="M120" s="739"/>
      <c r="O120" s="739">
        <f>'YEAR 4'!P120</f>
        <v>0</v>
      </c>
      <c r="P120" s="739"/>
      <c r="R120" s="739">
        <f>'YEAR 5'!P120</f>
        <v>0</v>
      </c>
      <c r="S120" s="739"/>
      <c r="U120" s="405"/>
      <c r="V120" s="774">
        <f>ROUND(SUM(F120:S120),0)</f>
        <v>0</v>
      </c>
      <c r="W120" s="774"/>
      <c r="X120" s="406"/>
    </row>
    <row r="121" spans="1:26" ht="4.5" customHeight="1" x14ac:dyDescent="0.3">
      <c r="B121" s="125"/>
      <c r="D121" s="132"/>
      <c r="E121" s="132"/>
      <c r="F121" s="763"/>
      <c r="G121" s="763"/>
      <c r="H121" s="296"/>
      <c r="I121" s="296"/>
      <c r="J121" s="296"/>
      <c r="K121" s="296"/>
      <c r="L121" s="296"/>
      <c r="M121" s="296"/>
      <c r="N121" s="296"/>
      <c r="O121" s="296"/>
      <c r="P121" s="296"/>
      <c r="Q121" s="296"/>
      <c r="R121" s="296"/>
      <c r="S121" s="296"/>
      <c r="T121" s="296"/>
      <c r="U121" s="409"/>
      <c r="V121" s="781"/>
      <c r="W121" s="781"/>
      <c r="X121" s="406"/>
    </row>
    <row r="122" spans="1:26" x14ac:dyDescent="0.3">
      <c r="B122" s="125"/>
      <c r="C122" s="109" t="str">
        <f>"Subtotal "&amp;C115</f>
        <v>Subtotal Stipends</v>
      </c>
      <c r="D122" s="115"/>
      <c r="E122" s="115"/>
      <c r="F122" s="774">
        <f>ROUND(SUM(F116:G121),0)</f>
        <v>0</v>
      </c>
      <c r="G122" s="774"/>
      <c r="I122" s="774">
        <f>ROUND(SUM(I116:J121),0)</f>
        <v>0</v>
      </c>
      <c r="J122" s="774"/>
      <c r="L122" s="774">
        <f>ROUND(SUM(L116:M121),0)</f>
        <v>0</v>
      </c>
      <c r="M122" s="774"/>
      <c r="O122" s="774">
        <f>ROUND(SUM(O116:P121),0)</f>
        <v>0</v>
      </c>
      <c r="P122" s="774"/>
      <c r="R122" s="774">
        <f>ROUND(SUM(R116:S121),0)</f>
        <v>0</v>
      </c>
      <c r="S122" s="774"/>
      <c r="U122" s="405"/>
      <c r="V122" s="774">
        <f>ROUND(SUM(F122:S122),0)</f>
        <v>0</v>
      </c>
      <c r="W122" s="774"/>
      <c r="X122" s="406"/>
      <c r="Z122" s="398">
        <f>ROUND(SUM(V116:W121),0)</f>
        <v>0</v>
      </c>
    </row>
    <row r="123" spans="1:26" ht="3.75" customHeight="1" x14ac:dyDescent="0.3">
      <c r="B123" s="125"/>
      <c r="C123" s="109"/>
      <c r="D123" s="115"/>
      <c r="E123" s="115"/>
      <c r="F123" s="278"/>
      <c r="G123" s="278"/>
      <c r="U123" s="405"/>
      <c r="X123" s="406"/>
    </row>
    <row r="124" spans="1:26" x14ac:dyDescent="0.3">
      <c r="A124" s="109"/>
      <c r="B124" s="131" t="s">
        <v>815</v>
      </c>
      <c r="C124" s="109" t="s">
        <v>703</v>
      </c>
      <c r="D124" s="115"/>
      <c r="E124" s="115"/>
      <c r="U124" s="405"/>
      <c r="X124" s="406"/>
    </row>
    <row r="125" spans="1:26" x14ac:dyDescent="0.3">
      <c r="B125" s="125"/>
      <c r="D125" s="115">
        <f>'YEAR 1'!D125</f>
        <v>0</v>
      </c>
      <c r="E125" s="115"/>
      <c r="F125" s="739">
        <f>'YEAR 1'!P125</f>
        <v>0</v>
      </c>
      <c r="G125" s="739"/>
      <c r="I125" s="739">
        <f>'YEAR 2'!P125</f>
        <v>0</v>
      </c>
      <c r="J125" s="739"/>
      <c r="L125" s="739">
        <f>'YEAR 3'!P125</f>
        <v>0</v>
      </c>
      <c r="M125" s="739"/>
      <c r="O125" s="739">
        <f>'YEAR 4'!P125</f>
        <v>0</v>
      </c>
      <c r="P125" s="739"/>
      <c r="R125" s="739">
        <f>'YEAR 5'!P125</f>
        <v>0</v>
      </c>
      <c r="S125" s="739"/>
      <c r="U125" s="405"/>
      <c r="V125" s="774">
        <f>ROUND(SUM(F125:S125),0)</f>
        <v>0</v>
      </c>
      <c r="W125" s="774"/>
      <c r="X125" s="406"/>
    </row>
    <row r="126" spans="1:26" x14ac:dyDescent="0.3">
      <c r="B126" s="125"/>
      <c r="D126" s="115">
        <f>'YEAR 1'!D126</f>
        <v>0</v>
      </c>
      <c r="E126" s="115"/>
      <c r="F126" s="739">
        <f>'YEAR 1'!P126</f>
        <v>0</v>
      </c>
      <c r="G126" s="739"/>
      <c r="I126" s="739">
        <f>'YEAR 2'!P126</f>
        <v>0</v>
      </c>
      <c r="J126" s="739"/>
      <c r="L126" s="739">
        <f>'YEAR 3'!P126</f>
        <v>0</v>
      </c>
      <c r="M126" s="739"/>
      <c r="O126" s="739">
        <f>'YEAR 4'!P126</f>
        <v>0</v>
      </c>
      <c r="P126" s="739"/>
      <c r="R126" s="739">
        <f>'YEAR 5'!P126</f>
        <v>0</v>
      </c>
      <c r="S126" s="739"/>
      <c r="U126" s="405"/>
      <c r="V126" s="774">
        <f>ROUND(SUM(F126:S126),0)</f>
        <v>0</v>
      </c>
      <c r="W126" s="774"/>
      <c r="X126" s="406"/>
    </row>
    <row r="127" spans="1:26" x14ac:dyDescent="0.3">
      <c r="B127" s="125"/>
      <c r="D127" s="115">
        <f>'YEAR 1'!D127</f>
        <v>0</v>
      </c>
      <c r="E127" s="115"/>
      <c r="F127" s="739">
        <f>'YEAR 1'!P127</f>
        <v>0</v>
      </c>
      <c r="G127" s="739"/>
      <c r="I127" s="739">
        <f>'YEAR 2'!P127</f>
        <v>0</v>
      </c>
      <c r="J127" s="739"/>
      <c r="L127" s="739">
        <f>'YEAR 3'!P127</f>
        <v>0</v>
      </c>
      <c r="M127" s="739"/>
      <c r="O127" s="739">
        <f>'YEAR 4'!P127</f>
        <v>0</v>
      </c>
      <c r="P127" s="739"/>
      <c r="R127" s="739">
        <f>'YEAR 5'!P127</f>
        <v>0</v>
      </c>
      <c r="S127" s="739"/>
      <c r="U127" s="405"/>
      <c r="V127" s="774">
        <f>ROUND(SUM(F127:S127),0)</f>
        <v>0</v>
      </c>
      <c r="W127" s="774"/>
      <c r="X127" s="406"/>
    </row>
    <row r="128" spans="1:26" x14ac:dyDescent="0.3">
      <c r="B128" s="125"/>
      <c r="D128" s="115">
        <f>'YEAR 1'!D128</f>
        <v>0</v>
      </c>
      <c r="E128" s="115"/>
      <c r="F128" s="739">
        <f>'YEAR 1'!P128</f>
        <v>0</v>
      </c>
      <c r="G128" s="739"/>
      <c r="I128" s="739">
        <f>'YEAR 2'!P128</f>
        <v>0</v>
      </c>
      <c r="J128" s="739"/>
      <c r="L128" s="739">
        <f>'YEAR 3'!P128</f>
        <v>0</v>
      </c>
      <c r="M128" s="739"/>
      <c r="O128" s="739">
        <f>'YEAR 4'!P128</f>
        <v>0</v>
      </c>
      <c r="P128" s="739"/>
      <c r="R128" s="739">
        <f>'YEAR 5'!P128</f>
        <v>0</v>
      </c>
      <c r="S128" s="739"/>
      <c r="U128" s="405"/>
      <c r="V128" s="774">
        <f>ROUND(SUM(F128:S128),0)</f>
        <v>0</v>
      </c>
      <c r="W128" s="774"/>
      <c r="X128" s="406"/>
    </row>
    <row r="129" spans="1:26" x14ac:dyDescent="0.3">
      <c r="B129" s="125"/>
      <c r="D129" s="115">
        <f>'YEAR 1'!D129</f>
        <v>0</v>
      </c>
      <c r="E129" s="115"/>
      <c r="F129" s="739">
        <f>'YEAR 1'!P129</f>
        <v>0</v>
      </c>
      <c r="G129" s="739"/>
      <c r="I129" s="739">
        <f>'YEAR 2'!P129</f>
        <v>0</v>
      </c>
      <c r="J129" s="739"/>
      <c r="L129" s="739">
        <f>'YEAR 3'!P129</f>
        <v>0</v>
      </c>
      <c r="M129" s="739"/>
      <c r="O129" s="739">
        <f>'YEAR 4'!P129</f>
        <v>0</v>
      </c>
      <c r="P129" s="739"/>
      <c r="R129" s="739">
        <f>'YEAR 5'!P129</f>
        <v>0</v>
      </c>
      <c r="S129" s="739"/>
      <c r="U129" s="405"/>
      <c r="V129" s="774">
        <f>ROUND(SUM(F129:S129),0)</f>
        <v>0</v>
      </c>
      <c r="W129" s="774"/>
      <c r="X129" s="406"/>
    </row>
    <row r="130" spans="1:26" ht="4.5" customHeight="1" x14ac:dyDescent="0.3">
      <c r="B130" s="125"/>
      <c r="D130" s="132"/>
      <c r="E130" s="132"/>
      <c r="F130" s="763"/>
      <c r="G130" s="763"/>
      <c r="H130" s="296"/>
      <c r="I130" s="296"/>
      <c r="J130" s="296"/>
      <c r="K130" s="296"/>
      <c r="L130" s="296"/>
      <c r="M130" s="296"/>
      <c r="N130" s="296"/>
      <c r="O130" s="296"/>
      <c r="P130" s="296"/>
      <c r="Q130" s="296"/>
      <c r="R130" s="296"/>
      <c r="S130" s="296"/>
      <c r="T130" s="296"/>
      <c r="U130" s="409"/>
      <c r="V130" s="781"/>
      <c r="W130" s="781"/>
      <c r="X130" s="406"/>
    </row>
    <row r="131" spans="1:26" x14ac:dyDescent="0.3">
      <c r="B131" s="125"/>
      <c r="C131" s="109" t="str">
        <f>"Subtotal "&amp;C124</f>
        <v>Subtotal Travel</v>
      </c>
      <c r="D131" s="115"/>
      <c r="E131" s="115"/>
      <c r="F131" s="774">
        <f>ROUND(SUM(F125:G130),0)</f>
        <v>0</v>
      </c>
      <c r="G131" s="774"/>
      <c r="I131" s="774">
        <f>ROUND(SUM(I125:J130),0)</f>
        <v>0</v>
      </c>
      <c r="J131" s="774"/>
      <c r="L131" s="774">
        <f>ROUND(SUM(L125:M130),0)</f>
        <v>0</v>
      </c>
      <c r="M131" s="774"/>
      <c r="O131" s="774">
        <f>ROUND(SUM(O125:P130),0)</f>
        <v>0</v>
      </c>
      <c r="P131" s="774"/>
      <c r="R131" s="774">
        <f>ROUND(SUM(R125:S130),0)</f>
        <v>0</v>
      </c>
      <c r="S131" s="774"/>
      <c r="U131" s="405"/>
      <c r="V131" s="774">
        <f>ROUND(SUM(F131:S131),0)</f>
        <v>0</v>
      </c>
      <c r="W131" s="774"/>
      <c r="X131" s="406"/>
      <c r="Z131" s="398">
        <f>ROUND(SUM(V125:W130),0)</f>
        <v>0</v>
      </c>
    </row>
    <row r="132" spans="1:26" ht="3.75" customHeight="1" x14ac:dyDescent="0.3">
      <c r="B132" s="125"/>
      <c r="C132" s="109"/>
      <c r="D132" s="115"/>
      <c r="E132" s="115"/>
      <c r="F132" s="278"/>
      <c r="G132" s="278"/>
      <c r="U132" s="405"/>
      <c r="X132" s="406"/>
    </row>
    <row r="133" spans="1:26" x14ac:dyDescent="0.3">
      <c r="A133" s="109"/>
      <c r="B133" s="131" t="s">
        <v>816</v>
      </c>
      <c r="C133" s="109" t="s">
        <v>714</v>
      </c>
      <c r="D133" s="115"/>
      <c r="E133" s="115"/>
      <c r="U133" s="405"/>
      <c r="X133" s="406"/>
    </row>
    <row r="134" spans="1:26" x14ac:dyDescent="0.3">
      <c r="B134" s="125"/>
      <c r="D134" s="115">
        <f>'YEAR 1'!D134</f>
        <v>0</v>
      </c>
      <c r="E134" s="115"/>
      <c r="F134" s="739">
        <f>'YEAR 1'!P134</f>
        <v>0</v>
      </c>
      <c r="G134" s="739"/>
      <c r="I134" s="739">
        <f>'YEAR 2'!P134</f>
        <v>0</v>
      </c>
      <c r="J134" s="739"/>
      <c r="L134" s="739">
        <f>'YEAR 3'!P134</f>
        <v>0</v>
      </c>
      <c r="M134" s="739"/>
      <c r="O134" s="739">
        <f>'YEAR 4'!P134</f>
        <v>0</v>
      </c>
      <c r="P134" s="739"/>
      <c r="R134" s="739">
        <f>'YEAR 5'!P134</f>
        <v>0</v>
      </c>
      <c r="S134" s="739"/>
      <c r="U134" s="405"/>
      <c r="V134" s="774">
        <f>ROUND(SUM(F134:S134),0)</f>
        <v>0</v>
      </c>
      <c r="W134" s="774"/>
      <c r="X134" s="406"/>
    </row>
    <row r="135" spans="1:26" x14ac:dyDescent="0.3">
      <c r="B135" s="125"/>
      <c r="D135" s="115">
        <f>'YEAR 1'!D135</f>
        <v>0</v>
      </c>
      <c r="E135" s="115"/>
      <c r="F135" s="739">
        <f>'YEAR 1'!P135</f>
        <v>0</v>
      </c>
      <c r="G135" s="739"/>
      <c r="I135" s="739">
        <f>'YEAR 2'!P135</f>
        <v>0</v>
      </c>
      <c r="J135" s="739"/>
      <c r="L135" s="739">
        <f>'YEAR 3'!P135</f>
        <v>0</v>
      </c>
      <c r="M135" s="739"/>
      <c r="O135" s="739">
        <f>'YEAR 4'!P135</f>
        <v>0</v>
      </c>
      <c r="P135" s="739"/>
      <c r="R135" s="739">
        <f>'YEAR 5'!P135</f>
        <v>0</v>
      </c>
      <c r="S135" s="739"/>
      <c r="U135" s="405"/>
      <c r="V135" s="774">
        <f>ROUND(SUM(F135:S135),0)</f>
        <v>0</v>
      </c>
      <c r="W135" s="774"/>
      <c r="X135" s="406"/>
    </row>
    <row r="136" spans="1:26" x14ac:dyDescent="0.3">
      <c r="B136" s="125"/>
      <c r="D136" s="115">
        <f>'YEAR 1'!D136</f>
        <v>0</v>
      </c>
      <c r="E136" s="115"/>
      <c r="F136" s="739">
        <f>'YEAR 1'!P136</f>
        <v>0</v>
      </c>
      <c r="G136" s="739"/>
      <c r="I136" s="739">
        <f>'YEAR 2'!P136</f>
        <v>0</v>
      </c>
      <c r="J136" s="739"/>
      <c r="L136" s="739">
        <f>'YEAR 3'!P136</f>
        <v>0</v>
      </c>
      <c r="M136" s="739"/>
      <c r="O136" s="739">
        <f>'YEAR 4'!P136</f>
        <v>0</v>
      </c>
      <c r="P136" s="739"/>
      <c r="R136" s="739">
        <f>'YEAR 5'!P136</f>
        <v>0</v>
      </c>
      <c r="S136" s="739"/>
      <c r="U136" s="405"/>
      <c r="V136" s="774">
        <f>ROUND(SUM(F136:S136),0)</f>
        <v>0</v>
      </c>
      <c r="W136" s="774"/>
      <c r="X136" s="406"/>
    </row>
    <row r="137" spans="1:26" x14ac:dyDescent="0.3">
      <c r="B137" s="125"/>
      <c r="D137" s="115">
        <f>'YEAR 1'!D137</f>
        <v>0</v>
      </c>
      <c r="E137" s="115"/>
      <c r="F137" s="739">
        <f>'YEAR 1'!P137</f>
        <v>0</v>
      </c>
      <c r="G137" s="739"/>
      <c r="I137" s="739">
        <f>'YEAR 2'!P137</f>
        <v>0</v>
      </c>
      <c r="J137" s="739"/>
      <c r="L137" s="739">
        <f>'YEAR 3'!P137</f>
        <v>0</v>
      </c>
      <c r="M137" s="739"/>
      <c r="O137" s="739">
        <f>'YEAR 4'!P137</f>
        <v>0</v>
      </c>
      <c r="P137" s="739"/>
      <c r="R137" s="739">
        <f>'YEAR 5'!P137</f>
        <v>0</v>
      </c>
      <c r="S137" s="739"/>
      <c r="U137" s="405"/>
      <c r="V137" s="774">
        <f>ROUND(SUM(F137:S137),0)</f>
        <v>0</v>
      </c>
      <c r="W137" s="774"/>
      <c r="X137" s="406"/>
    </row>
    <row r="138" spans="1:26" x14ac:dyDescent="0.3">
      <c r="B138" s="125"/>
      <c r="D138" s="115">
        <f>'YEAR 1'!D138</f>
        <v>0</v>
      </c>
      <c r="E138" s="115"/>
      <c r="F138" s="739">
        <f>'YEAR 1'!P138</f>
        <v>0</v>
      </c>
      <c r="G138" s="739"/>
      <c r="I138" s="739">
        <f>'YEAR 2'!P138</f>
        <v>0</v>
      </c>
      <c r="J138" s="739"/>
      <c r="L138" s="739">
        <f>'YEAR 3'!P138</f>
        <v>0</v>
      </c>
      <c r="M138" s="739"/>
      <c r="O138" s="739">
        <f>'YEAR 4'!P138</f>
        <v>0</v>
      </c>
      <c r="P138" s="739"/>
      <c r="R138" s="739">
        <f>'YEAR 5'!P138</f>
        <v>0</v>
      </c>
      <c r="S138" s="739"/>
      <c r="U138" s="405"/>
      <c r="V138" s="774">
        <f>ROUND(SUM(F138:S138),0)</f>
        <v>0</v>
      </c>
      <c r="W138" s="774"/>
      <c r="X138" s="406"/>
    </row>
    <row r="139" spans="1:26" ht="4.5" customHeight="1" x14ac:dyDescent="0.3">
      <c r="B139" s="125"/>
      <c r="D139" s="132"/>
      <c r="E139" s="132"/>
      <c r="F139" s="763"/>
      <c r="G139" s="763"/>
      <c r="H139" s="296"/>
      <c r="I139" s="296"/>
      <c r="J139" s="296"/>
      <c r="K139" s="296"/>
      <c r="L139" s="296"/>
      <c r="M139" s="296"/>
      <c r="N139" s="296"/>
      <c r="O139" s="296"/>
      <c r="P139" s="296"/>
      <c r="Q139" s="296"/>
      <c r="R139" s="296"/>
      <c r="S139" s="296"/>
      <c r="T139" s="296"/>
      <c r="U139" s="409"/>
      <c r="V139" s="781"/>
      <c r="W139" s="781"/>
      <c r="X139" s="406"/>
    </row>
    <row r="140" spans="1:26" x14ac:dyDescent="0.3">
      <c r="B140" s="125"/>
      <c r="C140" s="109" t="str">
        <f>"Subtotal "&amp;C133</f>
        <v>Subtotal Subsistence</v>
      </c>
      <c r="D140" s="115"/>
      <c r="E140" s="115"/>
      <c r="F140" s="774">
        <f>ROUND(SUM(F134:G139),0)</f>
        <v>0</v>
      </c>
      <c r="G140" s="774"/>
      <c r="I140" s="774">
        <f>ROUND(SUM(I134:J139),0)</f>
        <v>0</v>
      </c>
      <c r="J140" s="774"/>
      <c r="L140" s="774">
        <f>ROUND(SUM(L134:M139),0)</f>
        <v>0</v>
      </c>
      <c r="M140" s="774"/>
      <c r="O140" s="774">
        <f>ROUND(SUM(O134:P139),0)</f>
        <v>0</v>
      </c>
      <c r="P140" s="774"/>
      <c r="R140" s="774">
        <f>ROUND(SUM(R134:S139),0)</f>
        <v>0</v>
      </c>
      <c r="S140" s="774"/>
      <c r="U140" s="405"/>
      <c r="V140" s="774">
        <f>ROUND(SUM(F140:S140),0)</f>
        <v>0</v>
      </c>
      <c r="W140" s="774"/>
      <c r="X140" s="406"/>
      <c r="Z140" s="398">
        <f>ROUND(SUM(V134:W139),0)</f>
        <v>0</v>
      </c>
    </row>
    <row r="141" spans="1:26" ht="9" customHeight="1" x14ac:dyDescent="0.3">
      <c r="B141" s="125"/>
      <c r="C141" s="109"/>
      <c r="D141" s="115"/>
      <c r="E141" s="115"/>
      <c r="F141" s="278"/>
      <c r="G141" s="278"/>
      <c r="U141" s="405"/>
      <c r="X141" s="406"/>
    </row>
    <row r="142" spans="1:26" x14ac:dyDescent="0.3">
      <c r="A142" s="109"/>
      <c r="B142" s="131" t="s">
        <v>817</v>
      </c>
      <c r="C142" s="109" t="s">
        <v>679</v>
      </c>
      <c r="D142" s="115"/>
      <c r="E142" s="115"/>
      <c r="U142" s="405"/>
      <c r="X142" s="406"/>
    </row>
    <row r="143" spans="1:26" x14ac:dyDescent="0.3">
      <c r="B143" s="125"/>
      <c r="D143" s="115">
        <f>'YEAR 1'!D143</f>
        <v>0</v>
      </c>
      <c r="E143" s="115"/>
      <c r="F143" s="739">
        <f>'YEAR 1'!P143</f>
        <v>0</v>
      </c>
      <c r="G143" s="739"/>
      <c r="I143" s="739">
        <f>'YEAR 2'!P143</f>
        <v>0</v>
      </c>
      <c r="J143" s="739"/>
      <c r="L143" s="739">
        <f>'YEAR 3'!P143</f>
        <v>0</v>
      </c>
      <c r="M143" s="739"/>
      <c r="O143" s="739">
        <f>'YEAR 4'!P143</f>
        <v>0</v>
      </c>
      <c r="P143" s="739"/>
      <c r="R143" s="739">
        <f>'YEAR 5'!P143</f>
        <v>0</v>
      </c>
      <c r="S143" s="739"/>
      <c r="U143" s="405"/>
      <c r="V143" s="774">
        <f>ROUND(SUM(F143:S143),0)</f>
        <v>0</v>
      </c>
      <c r="W143" s="774"/>
      <c r="X143" s="406"/>
    </row>
    <row r="144" spans="1:26" x14ac:dyDescent="0.3">
      <c r="B144" s="125"/>
      <c r="D144" s="115">
        <f>'YEAR 1'!D144</f>
        <v>0</v>
      </c>
      <c r="E144" s="115"/>
      <c r="F144" s="739">
        <f>'YEAR 1'!P144</f>
        <v>0</v>
      </c>
      <c r="G144" s="739"/>
      <c r="I144" s="739">
        <f>'YEAR 2'!P144</f>
        <v>0</v>
      </c>
      <c r="J144" s="739"/>
      <c r="L144" s="739">
        <f>'YEAR 3'!P144</f>
        <v>0</v>
      </c>
      <c r="M144" s="739"/>
      <c r="O144" s="739">
        <f>'YEAR 4'!P144</f>
        <v>0</v>
      </c>
      <c r="P144" s="739"/>
      <c r="R144" s="739">
        <f>'YEAR 5'!P144</f>
        <v>0</v>
      </c>
      <c r="S144" s="739"/>
      <c r="U144" s="405"/>
      <c r="V144" s="774">
        <f>ROUND(SUM(F144:S144),0)</f>
        <v>0</v>
      </c>
      <c r="W144" s="774"/>
      <c r="X144" s="406"/>
    </row>
    <row r="145" spans="1:27" x14ac:dyDescent="0.3">
      <c r="B145" s="125"/>
      <c r="D145" s="115">
        <f>'YEAR 1'!D145</f>
        <v>0</v>
      </c>
      <c r="E145" s="115"/>
      <c r="F145" s="739">
        <f>'YEAR 1'!P145</f>
        <v>0</v>
      </c>
      <c r="G145" s="739"/>
      <c r="I145" s="739">
        <f>'YEAR 2'!P145</f>
        <v>0</v>
      </c>
      <c r="J145" s="739"/>
      <c r="L145" s="739">
        <f>'YEAR 3'!P145</f>
        <v>0</v>
      </c>
      <c r="M145" s="739"/>
      <c r="O145" s="739">
        <f>'YEAR 4'!P145</f>
        <v>0</v>
      </c>
      <c r="P145" s="739"/>
      <c r="R145" s="739">
        <f>'YEAR 5'!P145</f>
        <v>0</v>
      </c>
      <c r="S145" s="739"/>
      <c r="U145" s="405"/>
      <c r="V145" s="774">
        <f>ROUND(SUM(F145:S145),0)</f>
        <v>0</v>
      </c>
      <c r="W145" s="774"/>
      <c r="X145" s="406"/>
    </row>
    <row r="146" spans="1:27" x14ac:dyDescent="0.3">
      <c r="B146" s="125"/>
      <c r="D146" s="115">
        <f>'YEAR 1'!D146</f>
        <v>0</v>
      </c>
      <c r="E146" s="115"/>
      <c r="F146" s="739">
        <f>'YEAR 1'!P146</f>
        <v>0</v>
      </c>
      <c r="G146" s="739"/>
      <c r="I146" s="739">
        <f>'YEAR 2'!P146</f>
        <v>0</v>
      </c>
      <c r="J146" s="739"/>
      <c r="L146" s="739">
        <f>'YEAR 3'!P146</f>
        <v>0</v>
      </c>
      <c r="M146" s="739"/>
      <c r="O146" s="739">
        <f>'YEAR 4'!P146</f>
        <v>0</v>
      </c>
      <c r="P146" s="739"/>
      <c r="R146" s="739">
        <f>'YEAR 5'!P146</f>
        <v>0</v>
      </c>
      <c r="S146" s="739"/>
      <c r="U146" s="405"/>
      <c r="V146" s="774">
        <f>ROUND(SUM(F146:S146),0)</f>
        <v>0</v>
      </c>
      <c r="W146" s="774"/>
      <c r="X146" s="406"/>
    </row>
    <row r="147" spans="1:27" x14ac:dyDescent="0.3">
      <c r="B147" s="125"/>
      <c r="D147" s="115">
        <f>'YEAR 1'!D147</f>
        <v>0</v>
      </c>
      <c r="E147" s="115"/>
      <c r="F147" s="739">
        <f>'YEAR 1'!P147</f>
        <v>0</v>
      </c>
      <c r="G147" s="739"/>
      <c r="I147" s="739">
        <f>'YEAR 2'!P147</f>
        <v>0</v>
      </c>
      <c r="J147" s="739"/>
      <c r="L147" s="739">
        <f>'YEAR 3'!P147</f>
        <v>0</v>
      </c>
      <c r="M147" s="739"/>
      <c r="O147" s="739">
        <f>'YEAR 4'!P147</f>
        <v>0</v>
      </c>
      <c r="P147" s="739"/>
      <c r="R147" s="739">
        <f>'YEAR 5'!P147</f>
        <v>0</v>
      </c>
      <c r="S147" s="739"/>
      <c r="U147" s="405"/>
      <c r="V147" s="774">
        <f>ROUND(SUM(F147:S147),0)</f>
        <v>0</v>
      </c>
      <c r="W147" s="774"/>
      <c r="X147" s="406"/>
    </row>
    <row r="148" spans="1:27" ht="4.5" customHeight="1" x14ac:dyDescent="0.3">
      <c r="B148" s="125"/>
      <c r="D148" s="132"/>
      <c r="E148" s="132"/>
      <c r="F148" s="763"/>
      <c r="G148" s="763"/>
      <c r="H148" s="296"/>
      <c r="I148" s="296"/>
      <c r="J148" s="296"/>
      <c r="K148" s="296"/>
      <c r="L148" s="296"/>
      <c r="M148" s="296"/>
      <c r="N148" s="296"/>
      <c r="O148" s="296"/>
      <c r="P148" s="296"/>
      <c r="Q148" s="296"/>
      <c r="R148" s="296"/>
      <c r="S148" s="296"/>
      <c r="T148" s="296"/>
      <c r="U148" s="409"/>
      <c r="V148" s="781"/>
      <c r="W148" s="781"/>
      <c r="X148" s="406"/>
    </row>
    <row r="149" spans="1:27" x14ac:dyDescent="0.3">
      <c r="B149" s="125"/>
      <c r="C149" s="109" t="str">
        <f>"Subtotal "&amp;C142</f>
        <v>Subtotal Other</v>
      </c>
      <c r="D149" s="115"/>
      <c r="E149" s="115"/>
      <c r="F149" s="774">
        <f>ROUND(SUM(F143:G148),0)</f>
        <v>0</v>
      </c>
      <c r="G149" s="774"/>
      <c r="I149" s="774">
        <f>ROUND(SUM(I143:J148),0)</f>
        <v>0</v>
      </c>
      <c r="J149" s="774"/>
      <c r="L149" s="774">
        <f>ROUND(SUM(L143:M148),0)</f>
        <v>0</v>
      </c>
      <c r="M149" s="774"/>
      <c r="O149" s="774">
        <f>ROUND(SUM(O143:P148),0)</f>
        <v>0</v>
      </c>
      <c r="P149" s="774"/>
      <c r="R149" s="774">
        <f>ROUND(SUM(R143:S148),0)</f>
        <v>0</v>
      </c>
      <c r="S149" s="774"/>
      <c r="U149" s="405"/>
      <c r="V149" s="774">
        <f>ROUND(SUM(F149:S149),0)</f>
        <v>0</v>
      </c>
      <c r="W149" s="774"/>
      <c r="X149" s="406"/>
      <c r="Z149" s="398">
        <f>ROUND(SUM(V143:W148),0)</f>
        <v>0</v>
      </c>
    </row>
    <row r="150" spans="1:27" ht="3" customHeight="1" x14ac:dyDescent="0.3">
      <c r="B150" s="772"/>
      <c r="C150" s="772"/>
      <c r="D150" s="772"/>
      <c r="E150" s="772"/>
      <c r="F150" s="763"/>
      <c r="G150" s="763"/>
      <c r="H150" s="296"/>
      <c r="I150" s="296"/>
      <c r="J150" s="296"/>
      <c r="K150" s="296"/>
      <c r="L150" s="296"/>
      <c r="M150" s="296"/>
      <c r="N150" s="296"/>
      <c r="O150" s="296"/>
      <c r="P150" s="296"/>
      <c r="Q150" s="296"/>
      <c r="R150" s="296"/>
      <c r="S150" s="296"/>
      <c r="T150" s="296"/>
      <c r="U150" s="409"/>
      <c r="V150" s="781"/>
      <c r="W150" s="781"/>
      <c r="X150" s="406"/>
    </row>
    <row r="151" spans="1:27" x14ac:dyDescent="0.3">
      <c r="B151" s="546" t="str">
        <f>CONCATENATE("TOTAL ",B105)</f>
        <v>TOTAL PARTICIPANT/TRAINEE SUPPORT COSTS</v>
      </c>
      <c r="C151" s="547"/>
      <c r="D151" s="559"/>
      <c r="E151" s="559"/>
      <c r="F151" s="790">
        <f>ROUND(F113+F122+F131+F140+F149,0)</f>
        <v>0</v>
      </c>
      <c r="G151" s="790"/>
      <c r="H151" s="560"/>
      <c r="I151" s="790">
        <f>ROUND(I113+I122+I131+I140+I149,0)</f>
        <v>0</v>
      </c>
      <c r="J151" s="790"/>
      <c r="K151" s="560"/>
      <c r="L151" s="790">
        <f>ROUND(L113+L122+L131+L140+L149,0)</f>
        <v>0</v>
      </c>
      <c r="M151" s="790"/>
      <c r="N151" s="560"/>
      <c r="O151" s="790">
        <f>ROUND(O113+O122+O131+O140+O149,0)</f>
        <v>0</v>
      </c>
      <c r="P151" s="790"/>
      <c r="Q151" s="560"/>
      <c r="R151" s="790">
        <f>ROUND(R113+R122+R131+R140+R149,0)</f>
        <v>0</v>
      </c>
      <c r="S151" s="790"/>
      <c r="T151" s="560"/>
      <c r="U151" s="561"/>
      <c r="V151" s="790">
        <f>ROUND(SUM(F151:S151),0)</f>
        <v>0</v>
      </c>
      <c r="W151" s="790"/>
      <c r="X151" s="551"/>
      <c r="AA151" s="396">
        <f>ROUND(SUM(Z107:Z150),0)</f>
        <v>0</v>
      </c>
    </row>
    <row r="152" spans="1:27" ht="3" customHeight="1" x14ac:dyDescent="0.3">
      <c r="D152" s="115"/>
      <c r="E152" s="115"/>
      <c r="U152" s="405"/>
      <c r="X152" s="406"/>
    </row>
    <row r="153" spans="1:27" x14ac:dyDescent="0.3">
      <c r="A153" s="109" t="s">
        <v>674</v>
      </c>
      <c r="B153" s="109" t="s">
        <v>777</v>
      </c>
      <c r="C153" s="109"/>
      <c r="D153" s="115"/>
      <c r="E153" s="115"/>
      <c r="U153" s="405"/>
      <c r="X153" s="406"/>
    </row>
    <row r="154" spans="1:27" x14ac:dyDescent="0.3">
      <c r="A154" s="109"/>
      <c r="B154" s="131" t="s">
        <v>802</v>
      </c>
      <c r="C154" s="109" t="s">
        <v>720</v>
      </c>
      <c r="D154" s="115"/>
      <c r="E154" s="115"/>
      <c r="U154" s="405"/>
      <c r="X154" s="406"/>
    </row>
    <row r="155" spans="1:27" x14ac:dyDescent="0.3">
      <c r="B155" s="125"/>
      <c r="C155" s="113"/>
      <c r="D155" s="570">
        <f>'YEAR 1'!D155</f>
        <v>0</v>
      </c>
      <c r="E155" s="115"/>
      <c r="F155" s="739">
        <f>'YEAR 1'!P155</f>
        <v>0</v>
      </c>
      <c r="G155" s="739"/>
      <c r="I155" s="739">
        <f>'YEAR 2'!P155</f>
        <v>0</v>
      </c>
      <c r="J155" s="739"/>
      <c r="L155" s="739">
        <f>'YEAR 3'!P155</f>
        <v>0</v>
      </c>
      <c r="M155" s="739"/>
      <c r="O155" s="739">
        <f>'YEAR 4'!P155</f>
        <v>0</v>
      </c>
      <c r="P155" s="739"/>
      <c r="R155" s="739">
        <f>'YEAR 5'!P155</f>
        <v>0</v>
      </c>
      <c r="S155" s="739"/>
      <c r="U155" s="405"/>
      <c r="V155" s="774">
        <f>ROUND(SUM(F155:S155),0)</f>
        <v>0</v>
      </c>
      <c r="W155" s="774"/>
      <c r="X155" s="406"/>
    </row>
    <row r="156" spans="1:27" x14ac:dyDescent="0.3">
      <c r="B156" s="125"/>
      <c r="C156" s="113"/>
      <c r="D156" s="570">
        <f>'YEAR 1'!D156</f>
        <v>0</v>
      </c>
      <c r="E156" s="115"/>
      <c r="F156" s="739">
        <f>'YEAR 1'!P156</f>
        <v>0</v>
      </c>
      <c r="G156" s="739"/>
      <c r="I156" s="739">
        <f>'YEAR 2'!P156</f>
        <v>0</v>
      </c>
      <c r="J156" s="739"/>
      <c r="L156" s="739">
        <f>'YEAR 3'!P156</f>
        <v>0</v>
      </c>
      <c r="M156" s="739"/>
      <c r="O156" s="739">
        <f>'YEAR 4'!P156</f>
        <v>0</v>
      </c>
      <c r="P156" s="739"/>
      <c r="R156" s="739">
        <f>'YEAR 5'!P156</f>
        <v>0</v>
      </c>
      <c r="S156" s="739"/>
      <c r="U156" s="405"/>
      <c r="V156" s="774">
        <f t="shared" ref="V156:V164" si="0">ROUND(SUM(F156:S156),0)</f>
        <v>0</v>
      </c>
      <c r="W156" s="774"/>
      <c r="X156" s="406"/>
    </row>
    <row r="157" spans="1:27" x14ac:dyDescent="0.3">
      <c r="B157" s="125"/>
      <c r="C157" s="113"/>
      <c r="D157" s="570">
        <f>'YEAR 1'!D157</f>
        <v>0</v>
      </c>
      <c r="E157" s="115"/>
      <c r="F157" s="739">
        <f>'YEAR 1'!P157</f>
        <v>0</v>
      </c>
      <c r="G157" s="739"/>
      <c r="I157" s="739">
        <f>'YEAR 2'!P157</f>
        <v>0</v>
      </c>
      <c r="J157" s="739"/>
      <c r="L157" s="739">
        <f>'YEAR 3'!P157</f>
        <v>0</v>
      </c>
      <c r="M157" s="739"/>
      <c r="O157" s="739">
        <f>'YEAR 4'!P157</f>
        <v>0</v>
      </c>
      <c r="P157" s="739"/>
      <c r="R157" s="739">
        <f>'YEAR 5'!P157</f>
        <v>0</v>
      </c>
      <c r="S157" s="739"/>
      <c r="U157" s="405"/>
      <c r="V157" s="774">
        <f>ROUND(SUM(F157:S157),0)</f>
        <v>0</v>
      </c>
      <c r="W157" s="774"/>
      <c r="X157" s="406"/>
    </row>
    <row r="158" spans="1:27" x14ac:dyDescent="0.3">
      <c r="B158" s="125"/>
      <c r="C158" s="113"/>
      <c r="D158" s="570">
        <f>'YEAR 1'!D158</f>
        <v>0</v>
      </c>
      <c r="E158" s="115"/>
      <c r="F158" s="739">
        <f>'YEAR 1'!P158</f>
        <v>0</v>
      </c>
      <c r="G158" s="739"/>
      <c r="I158" s="739">
        <f>'YEAR 2'!P158</f>
        <v>0</v>
      </c>
      <c r="J158" s="739"/>
      <c r="L158" s="739">
        <f>'YEAR 3'!P158</f>
        <v>0</v>
      </c>
      <c r="M158" s="739"/>
      <c r="O158" s="739">
        <f>'YEAR 4'!P158</f>
        <v>0</v>
      </c>
      <c r="P158" s="739"/>
      <c r="R158" s="739">
        <f>'YEAR 5'!P158</f>
        <v>0</v>
      </c>
      <c r="S158" s="739"/>
      <c r="U158" s="405"/>
      <c r="V158" s="774">
        <f t="shared" si="0"/>
        <v>0</v>
      </c>
      <c r="W158" s="774"/>
      <c r="X158" s="406"/>
    </row>
    <row r="159" spans="1:27" x14ac:dyDescent="0.3">
      <c r="B159" s="125"/>
      <c r="C159" s="113"/>
      <c r="D159" s="570">
        <f>'YEAR 1'!D159</f>
        <v>0</v>
      </c>
      <c r="E159" s="115"/>
      <c r="F159" s="739">
        <f>'YEAR 1'!P159</f>
        <v>0</v>
      </c>
      <c r="G159" s="739"/>
      <c r="I159" s="739">
        <f>'YEAR 2'!P159</f>
        <v>0</v>
      </c>
      <c r="J159" s="739"/>
      <c r="L159" s="739">
        <f>'YEAR 3'!P159</f>
        <v>0</v>
      </c>
      <c r="M159" s="739"/>
      <c r="O159" s="739">
        <f>'YEAR 4'!P159</f>
        <v>0</v>
      </c>
      <c r="P159" s="739"/>
      <c r="R159" s="739">
        <f>'YEAR 5'!P159</f>
        <v>0</v>
      </c>
      <c r="S159" s="739"/>
      <c r="U159" s="405"/>
      <c r="V159" s="774">
        <f t="shared" si="0"/>
        <v>0</v>
      </c>
      <c r="W159" s="774"/>
      <c r="X159" s="406"/>
    </row>
    <row r="160" spans="1:27" x14ac:dyDescent="0.3">
      <c r="B160" s="125"/>
      <c r="C160" s="113"/>
      <c r="D160" s="570">
        <f>'YEAR 1'!D160</f>
        <v>0</v>
      </c>
      <c r="E160" s="115"/>
      <c r="F160" s="739">
        <f>'YEAR 1'!P160</f>
        <v>0</v>
      </c>
      <c r="G160" s="739"/>
      <c r="I160" s="739">
        <f>'YEAR 2'!P160</f>
        <v>0</v>
      </c>
      <c r="J160" s="739"/>
      <c r="L160" s="739">
        <f>'YEAR 3'!P160</f>
        <v>0</v>
      </c>
      <c r="M160" s="739"/>
      <c r="O160" s="739">
        <f>'YEAR 4'!P160</f>
        <v>0</v>
      </c>
      <c r="P160" s="739"/>
      <c r="R160" s="739">
        <f>'YEAR 5'!P160</f>
        <v>0</v>
      </c>
      <c r="S160" s="739"/>
      <c r="U160" s="405"/>
      <c r="V160" s="774">
        <f t="shared" si="0"/>
        <v>0</v>
      </c>
      <c r="W160" s="774"/>
      <c r="X160" s="406"/>
    </row>
    <row r="161" spans="1:26" x14ac:dyDescent="0.3">
      <c r="B161" s="125"/>
      <c r="C161" s="113"/>
      <c r="D161" s="115">
        <f>'YEAR 1'!D161</f>
        <v>0</v>
      </c>
      <c r="E161" s="115"/>
      <c r="F161" s="739">
        <f>'YEAR 1'!P161</f>
        <v>0</v>
      </c>
      <c r="G161" s="739"/>
      <c r="I161" s="739">
        <f>'YEAR 2'!P161</f>
        <v>0</v>
      </c>
      <c r="J161" s="739"/>
      <c r="L161" s="739">
        <f>'YEAR 3'!P161</f>
        <v>0</v>
      </c>
      <c r="M161" s="739"/>
      <c r="O161" s="739">
        <f>'YEAR 4'!P161</f>
        <v>0</v>
      </c>
      <c r="P161" s="739"/>
      <c r="R161" s="739">
        <f>'YEAR 5'!P161</f>
        <v>0</v>
      </c>
      <c r="S161" s="739"/>
      <c r="U161" s="405"/>
      <c r="V161" s="774">
        <f t="shared" si="0"/>
        <v>0</v>
      </c>
      <c r="W161" s="774"/>
      <c r="X161" s="406"/>
    </row>
    <row r="162" spans="1:26" x14ac:dyDescent="0.3">
      <c r="B162" s="125"/>
      <c r="C162" s="113"/>
      <c r="D162" s="115">
        <f>'YEAR 1'!D162</f>
        <v>0</v>
      </c>
      <c r="E162" s="115"/>
      <c r="F162" s="739">
        <f>'YEAR 1'!P162</f>
        <v>0</v>
      </c>
      <c r="G162" s="739"/>
      <c r="I162" s="739">
        <f>'YEAR 2'!P162</f>
        <v>0</v>
      </c>
      <c r="J162" s="739"/>
      <c r="L162" s="739">
        <f>'YEAR 3'!P162</f>
        <v>0</v>
      </c>
      <c r="M162" s="739"/>
      <c r="O162" s="739">
        <f>'YEAR 4'!P162</f>
        <v>0</v>
      </c>
      <c r="P162" s="739"/>
      <c r="R162" s="739">
        <f>'YEAR 5'!P162</f>
        <v>0</v>
      </c>
      <c r="S162" s="739"/>
      <c r="U162" s="405"/>
      <c r="V162" s="774">
        <f t="shared" si="0"/>
        <v>0</v>
      </c>
      <c r="W162" s="774"/>
      <c r="X162" s="406"/>
    </row>
    <row r="163" spans="1:26" x14ac:dyDescent="0.3">
      <c r="B163" s="125"/>
      <c r="D163" s="115">
        <f>'YEAR 1'!D163</f>
        <v>0</v>
      </c>
      <c r="E163" s="115"/>
      <c r="F163" s="739">
        <f>'YEAR 1'!P163</f>
        <v>0</v>
      </c>
      <c r="G163" s="739"/>
      <c r="I163" s="739">
        <f>'YEAR 2'!P163</f>
        <v>0</v>
      </c>
      <c r="J163" s="739"/>
      <c r="L163" s="739">
        <f>'YEAR 3'!P163</f>
        <v>0</v>
      </c>
      <c r="M163" s="739"/>
      <c r="O163" s="739">
        <f>'YEAR 4'!P163</f>
        <v>0</v>
      </c>
      <c r="P163" s="739"/>
      <c r="R163" s="739">
        <f>'YEAR 5'!P163</f>
        <v>0</v>
      </c>
      <c r="S163" s="739"/>
      <c r="U163" s="405"/>
      <c r="V163" s="774">
        <f t="shared" si="0"/>
        <v>0</v>
      </c>
      <c r="W163" s="774"/>
      <c r="X163" s="406"/>
    </row>
    <row r="164" spans="1:26" x14ac:dyDescent="0.3">
      <c r="B164" s="125"/>
      <c r="D164" s="115">
        <f>'YEAR 1'!D164</f>
        <v>0</v>
      </c>
      <c r="E164" s="115"/>
      <c r="F164" s="739">
        <f>'YEAR 1'!P164</f>
        <v>0</v>
      </c>
      <c r="G164" s="739"/>
      <c r="I164" s="739">
        <f>'YEAR 2'!P164</f>
        <v>0</v>
      </c>
      <c r="J164" s="739"/>
      <c r="L164" s="739">
        <f>'YEAR 3'!P164</f>
        <v>0</v>
      </c>
      <c r="M164" s="739"/>
      <c r="O164" s="739">
        <f>'YEAR 4'!P164</f>
        <v>0</v>
      </c>
      <c r="P164" s="739"/>
      <c r="R164" s="739">
        <f>'YEAR 5'!P164</f>
        <v>0</v>
      </c>
      <c r="S164" s="739"/>
      <c r="U164" s="405"/>
      <c r="V164" s="774">
        <f t="shared" si="0"/>
        <v>0</v>
      </c>
      <c r="W164" s="774"/>
      <c r="X164" s="406"/>
    </row>
    <row r="165" spans="1:26" ht="3" customHeight="1" x14ac:dyDescent="0.3">
      <c r="B165" s="125"/>
      <c r="D165" s="132"/>
      <c r="E165" s="132"/>
      <c r="F165" s="763"/>
      <c r="G165" s="763"/>
      <c r="H165" s="296"/>
      <c r="I165" s="296"/>
      <c r="J165" s="296"/>
      <c r="K165" s="296"/>
      <c r="L165" s="296"/>
      <c r="M165" s="296"/>
      <c r="N165" s="296"/>
      <c r="O165" s="296"/>
      <c r="P165" s="296"/>
      <c r="Q165" s="296"/>
      <c r="R165" s="296"/>
      <c r="S165" s="296"/>
      <c r="T165" s="296"/>
      <c r="U165" s="409"/>
      <c r="V165" s="781"/>
      <c r="W165" s="781"/>
      <c r="X165" s="406"/>
    </row>
    <row r="166" spans="1:26" x14ac:dyDescent="0.3">
      <c r="B166" s="125"/>
      <c r="C166" s="109" t="str">
        <f>"Subtotal "&amp;C154</f>
        <v>Subtotal Materials &amp; Supplies</v>
      </c>
      <c r="D166" s="115"/>
      <c r="E166" s="115"/>
      <c r="F166" s="774">
        <f>ROUND(SUM(F155:G165),0)</f>
        <v>0</v>
      </c>
      <c r="G166" s="774"/>
      <c r="I166" s="774">
        <f>ROUND(SUM(I155:J165),0)</f>
        <v>0</v>
      </c>
      <c r="J166" s="774"/>
      <c r="L166" s="774">
        <f>ROUND(SUM(L155:M165),0)</f>
        <v>0</v>
      </c>
      <c r="M166" s="774"/>
      <c r="O166" s="774">
        <f>ROUND(SUM(O155:P165),0)</f>
        <v>0</v>
      </c>
      <c r="P166" s="774"/>
      <c r="R166" s="774">
        <f>ROUND(SUM(R155:S165),0)</f>
        <v>0</v>
      </c>
      <c r="S166" s="774"/>
      <c r="U166" s="405"/>
      <c r="V166" s="774">
        <f>ROUND(SUM(F166:S166),0)</f>
        <v>0</v>
      </c>
      <c r="W166" s="774"/>
      <c r="X166" s="406"/>
      <c r="Z166" s="398">
        <f>ROUND(SUM(V155:W165),0)</f>
        <v>0</v>
      </c>
    </row>
    <row r="167" spans="1:26" ht="3" customHeight="1" x14ac:dyDescent="0.3">
      <c r="B167" s="125"/>
      <c r="C167" s="109"/>
      <c r="D167" s="115"/>
      <c r="E167" s="115"/>
      <c r="F167" s="278"/>
      <c r="G167" s="278"/>
      <c r="U167" s="405"/>
      <c r="X167" s="406"/>
    </row>
    <row r="168" spans="1:26" x14ac:dyDescent="0.3">
      <c r="A168" s="109"/>
      <c r="B168" s="131" t="s">
        <v>811</v>
      </c>
      <c r="C168" s="109" t="s">
        <v>818</v>
      </c>
      <c r="D168" s="115"/>
      <c r="E168" s="115"/>
      <c r="U168" s="405"/>
      <c r="X168" s="406"/>
    </row>
    <row r="169" spans="1:26" x14ac:dyDescent="0.3">
      <c r="B169" s="125"/>
      <c r="D169" s="115" t="str">
        <f>'YEAR 1'!D169</f>
        <v xml:space="preserve">Publication </v>
      </c>
      <c r="E169" s="115"/>
      <c r="F169" s="739">
        <f>'YEAR 1'!P169</f>
        <v>0</v>
      </c>
      <c r="G169" s="739"/>
      <c r="I169" s="739">
        <f>'YEAR 2'!P169</f>
        <v>0</v>
      </c>
      <c r="J169" s="739"/>
      <c r="L169" s="739">
        <f>'YEAR 3'!P169</f>
        <v>0</v>
      </c>
      <c r="M169" s="739"/>
      <c r="O169" s="739">
        <f>'YEAR 4'!P169</f>
        <v>0</v>
      </c>
      <c r="P169" s="739"/>
      <c r="R169" s="739">
        <f>'YEAR 5'!P169</f>
        <v>0</v>
      </c>
      <c r="S169" s="739"/>
      <c r="U169" s="405"/>
      <c r="V169" s="774">
        <f>ROUND(SUM(F169:S169),0)</f>
        <v>0</v>
      </c>
      <c r="W169" s="774"/>
      <c r="X169" s="406"/>
    </row>
    <row r="170" spans="1:26" x14ac:dyDescent="0.3">
      <c r="B170" s="125"/>
      <c r="D170" s="115">
        <f>'YEAR 1'!D170</f>
        <v>0</v>
      </c>
      <c r="E170" s="115"/>
      <c r="F170" s="739">
        <f>'YEAR 1'!P170</f>
        <v>0</v>
      </c>
      <c r="G170" s="739"/>
      <c r="I170" s="739">
        <f>'YEAR 2'!P170</f>
        <v>0</v>
      </c>
      <c r="J170" s="739"/>
      <c r="L170" s="739">
        <f>'YEAR 3'!P170</f>
        <v>0</v>
      </c>
      <c r="M170" s="739"/>
      <c r="O170" s="739">
        <f>'YEAR 4'!P170</f>
        <v>0</v>
      </c>
      <c r="P170" s="739"/>
      <c r="R170" s="739">
        <f>'YEAR 5'!P170</f>
        <v>0</v>
      </c>
      <c r="S170" s="739"/>
      <c r="U170" s="405"/>
      <c r="V170" s="774">
        <f>ROUND(SUM(F170:S170),0)</f>
        <v>0</v>
      </c>
      <c r="W170" s="774"/>
      <c r="X170" s="406"/>
    </row>
    <row r="171" spans="1:26" x14ac:dyDescent="0.3">
      <c r="B171" s="125"/>
      <c r="D171" s="115">
        <f>'YEAR 1'!D171</f>
        <v>0</v>
      </c>
      <c r="E171" s="115"/>
      <c r="F171" s="739">
        <f>'YEAR 1'!P171</f>
        <v>0</v>
      </c>
      <c r="G171" s="739"/>
      <c r="I171" s="739">
        <f>'YEAR 2'!P171</f>
        <v>0</v>
      </c>
      <c r="J171" s="739"/>
      <c r="L171" s="739">
        <f>'YEAR 3'!P171</f>
        <v>0</v>
      </c>
      <c r="M171" s="739"/>
      <c r="O171" s="739">
        <f>'YEAR 4'!P171</f>
        <v>0</v>
      </c>
      <c r="P171" s="739"/>
      <c r="R171" s="739">
        <f>'YEAR 5'!P171</f>
        <v>0</v>
      </c>
      <c r="S171" s="739"/>
      <c r="U171" s="405"/>
      <c r="V171" s="774">
        <f>ROUND(SUM(F171:S171),0)</f>
        <v>0</v>
      </c>
      <c r="W171" s="774"/>
      <c r="X171" s="406"/>
    </row>
    <row r="172" spans="1:26" x14ac:dyDescent="0.3">
      <c r="B172" s="125"/>
      <c r="D172" s="115">
        <f>'YEAR 1'!D172</f>
        <v>0</v>
      </c>
      <c r="E172" s="115"/>
      <c r="F172" s="739">
        <f>'YEAR 1'!P172</f>
        <v>0</v>
      </c>
      <c r="G172" s="739"/>
      <c r="I172" s="739">
        <f>'YEAR 2'!P172</f>
        <v>0</v>
      </c>
      <c r="J172" s="739"/>
      <c r="L172" s="739">
        <f>'YEAR 3'!P172</f>
        <v>0</v>
      </c>
      <c r="M172" s="739"/>
      <c r="O172" s="739">
        <f>'YEAR 4'!P172</f>
        <v>0</v>
      </c>
      <c r="P172" s="739"/>
      <c r="R172" s="739">
        <f>'YEAR 5'!P172</f>
        <v>0</v>
      </c>
      <c r="S172" s="739"/>
      <c r="U172" s="405"/>
      <c r="V172" s="774">
        <f>ROUND(SUM(F172:S172),0)</f>
        <v>0</v>
      </c>
      <c r="W172" s="774"/>
      <c r="X172" s="406"/>
    </row>
    <row r="173" spans="1:26" x14ac:dyDescent="0.3">
      <c r="B173" s="125"/>
      <c r="D173" s="115">
        <f>'YEAR 1'!D173</f>
        <v>0</v>
      </c>
      <c r="E173" s="115"/>
      <c r="F173" s="739">
        <f>'YEAR 1'!P173</f>
        <v>0</v>
      </c>
      <c r="G173" s="739"/>
      <c r="I173" s="739">
        <f>'YEAR 2'!P173</f>
        <v>0</v>
      </c>
      <c r="J173" s="739"/>
      <c r="L173" s="739">
        <f>'YEAR 3'!P173</f>
        <v>0</v>
      </c>
      <c r="M173" s="739"/>
      <c r="O173" s="739">
        <f>'YEAR 4'!P173</f>
        <v>0</v>
      </c>
      <c r="P173" s="739"/>
      <c r="R173" s="739">
        <f>'YEAR 5'!P173</f>
        <v>0</v>
      </c>
      <c r="S173" s="739"/>
      <c r="U173" s="405"/>
      <c r="V173" s="774">
        <f>ROUND(SUM(F173:S173),0)</f>
        <v>0</v>
      </c>
      <c r="W173" s="774"/>
      <c r="X173" s="406"/>
    </row>
    <row r="174" spans="1:26" ht="3" customHeight="1" x14ac:dyDescent="0.3">
      <c r="B174" s="125"/>
      <c r="D174" s="132"/>
      <c r="E174" s="132"/>
      <c r="F174" s="763"/>
      <c r="G174" s="763"/>
      <c r="H174" s="296"/>
      <c r="I174" s="296"/>
      <c r="J174" s="296"/>
      <c r="K174" s="296"/>
      <c r="L174" s="296"/>
      <c r="M174" s="296"/>
      <c r="N174" s="296"/>
      <c r="O174" s="296"/>
      <c r="P174" s="296"/>
      <c r="Q174" s="296"/>
      <c r="R174" s="296"/>
      <c r="S174" s="296"/>
      <c r="T174" s="296"/>
      <c r="U174" s="409"/>
      <c r="V174" s="781"/>
      <c r="W174" s="781"/>
      <c r="X174" s="406"/>
    </row>
    <row r="175" spans="1:26" x14ac:dyDescent="0.3">
      <c r="B175" s="125"/>
      <c r="C175" s="109" t="str">
        <f>"Subtotal "&amp;C168</f>
        <v>Subtotal Publications</v>
      </c>
      <c r="D175" s="115"/>
      <c r="E175" s="115"/>
      <c r="F175" s="774">
        <f>ROUND(SUM(F169:G174),0)</f>
        <v>0</v>
      </c>
      <c r="G175" s="774"/>
      <c r="I175" s="774">
        <f>ROUND(SUM(I169:J174),0)</f>
        <v>0</v>
      </c>
      <c r="J175" s="774"/>
      <c r="L175" s="774">
        <f>ROUND(SUM(L169:M174),0)</f>
        <v>0</v>
      </c>
      <c r="M175" s="774"/>
      <c r="O175" s="774">
        <f>ROUND(SUM(O169:P174),0)</f>
        <v>0</v>
      </c>
      <c r="P175" s="774"/>
      <c r="R175" s="774">
        <f>ROUND(SUM(R169:S174),0)</f>
        <v>0</v>
      </c>
      <c r="S175" s="774"/>
      <c r="U175" s="405"/>
      <c r="V175" s="774">
        <f>ROUND(SUM(F175:S175),0)</f>
        <v>0</v>
      </c>
      <c r="W175" s="774"/>
      <c r="X175" s="406"/>
      <c r="Z175" s="398">
        <f>ROUND(SUM(V169:W174),0)</f>
        <v>0</v>
      </c>
    </row>
    <row r="176" spans="1:26" ht="3" customHeight="1" x14ac:dyDescent="0.3">
      <c r="B176" s="125"/>
      <c r="C176" s="109"/>
      <c r="D176" s="115"/>
      <c r="E176" s="115"/>
      <c r="F176" s="278"/>
      <c r="G176" s="278"/>
      <c r="U176" s="405"/>
      <c r="X176" s="406"/>
    </row>
    <row r="177" spans="1:26" x14ac:dyDescent="0.3">
      <c r="A177" s="109"/>
      <c r="B177" s="131" t="s">
        <v>815</v>
      </c>
      <c r="C177" s="109" t="s">
        <v>820</v>
      </c>
      <c r="D177" s="115"/>
      <c r="E177" s="115"/>
      <c r="U177" s="405"/>
      <c r="X177" s="406"/>
    </row>
    <row r="178" spans="1:26" x14ac:dyDescent="0.3">
      <c r="B178" s="125"/>
      <c r="D178" s="115">
        <f>'YEAR 1'!D178</f>
        <v>0</v>
      </c>
      <c r="E178" s="115"/>
      <c r="F178" s="739">
        <f>'YEAR 1'!P178</f>
        <v>0</v>
      </c>
      <c r="G178" s="739"/>
      <c r="I178" s="739">
        <f>'YEAR 2'!P178</f>
        <v>0</v>
      </c>
      <c r="J178" s="739"/>
      <c r="L178" s="739">
        <f>'YEAR 3'!P178</f>
        <v>0</v>
      </c>
      <c r="M178" s="739"/>
      <c r="O178" s="739">
        <f>'YEAR 4'!P178</f>
        <v>0</v>
      </c>
      <c r="P178" s="739"/>
      <c r="R178" s="739">
        <f>'YEAR 5'!P178</f>
        <v>0</v>
      </c>
      <c r="S178" s="739"/>
      <c r="U178" s="405"/>
      <c r="V178" s="774">
        <f>ROUND(SUM(F178:S178),0)</f>
        <v>0</v>
      </c>
      <c r="W178" s="774"/>
      <c r="X178" s="406"/>
    </row>
    <row r="179" spans="1:26" x14ac:dyDescent="0.3">
      <c r="B179" s="125"/>
      <c r="D179" s="115">
        <f>'YEAR 1'!D179</f>
        <v>0</v>
      </c>
      <c r="E179" s="115"/>
      <c r="F179" s="739">
        <f>'YEAR 1'!P179</f>
        <v>0</v>
      </c>
      <c r="G179" s="739"/>
      <c r="I179" s="739">
        <f>'YEAR 2'!P179</f>
        <v>0</v>
      </c>
      <c r="J179" s="739"/>
      <c r="L179" s="739">
        <f>'YEAR 3'!P179</f>
        <v>0</v>
      </c>
      <c r="M179" s="739"/>
      <c r="O179" s="739">
        <f>'YEAR 4'!P179</f>
        <v>0</v>
      </c>
      <c r="P179" s="739"/>
      <c r="R179" s="739">
        <f>'YEAR 5'!P179</f>
        <v>0</v>
      </c>
      <c r="S179" s="739"/>
      <c r="U179" s="405"/>
      <c r="V179" s="774">
        <f>ROUND(SUM(F179:S179),0)</f>
        <v>0</v>
      </c>
      <c r="W179" s="774"/>
      <c r="X179" s="406"/>
    </row>
    <row r="180" spans="1:26" x14ac:dyDescent="0.3">
      <c r="B180" s="125"/>
      <c r="D180" s="115">
        <f>'YEAR 1'!D180</f>
        <v>0</v>
      </c>
      <c r="E180" s="115"/>
      <c r="F180" s="739">
        <f>'YEAR 1'!P180</f>
        <v>0</v>
      </c>
      <c r="G180" s="739"/>
      <c r="I180" s="739">
        <f>'YEAR 2'!P180</f>
        <v>0</v>
      </c>
      <c r="J180" s="739"/>
      <c r="L180" s="739">
        <f>'YEAR 3'!P180</f>
        <v>0</v>
      </c>
      <c r="M180" s="739"/>
      <c r="O180" s="739">
        <f>'YEAR 4'!P180</f>
        <v>0</v>
      </c>
      <c r="P180" s="739"/>
      <c r="R180" s="739">
        <f>'YEAR 5'!P180</f>
        <v>0</v>
      </c>
      <c r="S180" s="739"/>
      <c r="U180" s="405"/>
      <c r="V180" s="774">
        <f>ROUND(SUM(F180:S180),0)</f>
        <v>0</v>
      </c>
      <c r="W180" s="774"/>
      <c r="X180" s="406"/>
    </row>
    <row r="181" spans="1:26" x14ac:dyDescent="0.3">
      <c r="B181" s="125"/>
      <c r="D181" s="115">
        <f>'YEAR 1'!D181</f>
        <v>0</v>
      </c>
      <c r="E181" s="115"/>
      <c r="F181" s="739">
        <f>'YEAR 1'!P181</f>
        <v>0</v>
      </c>
      <c r="G181" s="739"/>
      <c r="I181" s="739">
        <f>'YEAR 2'!P181</f>
        <v>0</v>
      </c>
      <c r="J181" s="739"/>
      <c r="L181" s="739">
        <f>'YEAR 3'!P181</f>
        <v>0</v>
      </c>
      <c r="M181" s="739"/>
      <c r="O181" s="739">
        <f>'YEAR 4'!P181</f>
        <v>0</v>
      </c>
      <c r="P181" s="739"/>
      <c r="R181" s="739">
        <f>'YEAR 5'!P181</f>
        <v>0</v>
      </c>
      <c r="S181" s="739"/>
      <c r="U181" s="405"/>
      <c r="V181" s="774">
        <f>ROUND(SUM(F181:S181),0)</f>
        <v>0</v>
      </c>
      <c r="W181" s="774"/>
      <c r="X181" s="406"/>
    </row>
    <row r="182" spans="1:26" x14ac:dyDescent="0.3">
      <c r="B182" s="125"/>
      <c r="D182" s="115">
        <f>'YEAR 1'!D182</f>
        <v>0</v>
      </c>
      <c r="E182" s="115"/>
      <c r="F182" s="739">
        <f>'YEAR 1'!P182</f>
        <v>0</v>
      </c>
      <c r="G182" s="739"/>
      <c r="I182" s="739">
        <f>'YEAR 2'!P182</f>
        <v>0</v>
      </c>
      <c r="J182" s="739"/>
      <c r="L182" s="739">
        <f>'YEAR 3'!P182</f>
        <v>0</v>
      </c>
      <c r="M182" s="739"/>
      <c r="O182" s="739">
        <f>'YEAR 4'!P182</f>
        <v>0</v>
      </c>
      <c r="P182" s="739"/>
      <c r="R182" s="739">
        <f>'YEAR 5'!P182</f>
        <v>0</v>
      </c>
      <c r="S182" s="739"/>
      <c r="U182" s="405"/>
      <c r="V182" s="774">
        <f>ROUND(SUM(F182:S182),0)</f>
        <v>0</v>
      </c>
      <c r="W182" s="774"/>
      <c r="X182" s="406"/>
    </row>
    <row r="183" spans="1:26" ht="3" customHeight="1" x14ac:dyDescent="0.3">
      <c r="B183" s="125"/>
      <c r="D183" s="132"/>
      <c r="E183" s="132"/>
      <c r="F183" s="763"/>
      <c r="G183" s="763"/>
      <c r="H183" s="296"/>
      <c r="I183" s="296"/>
      <c r="J183" s="296"/>
      <c r="K183" s="296"/>
      <c r="L183" s="296"/>
      <c r="M183" s="296"/>
      <c r="N183" s="296"/>
      <c r="O183" s="296"/>
      <c r="P183" s="296"/>
      <c r="Q183" s="296"/>
      <c r="R183" s="296"/>
      <c r="S183" s="296"/>
      <c r="T183" s="296"/>
      <c r="U183" s="409"/>
      <c r="V183" s="781"/>
      <c r="W183" s="781"/>
      <c r="X183" s="406"/>
    </row>
    <row r="184" spans="1:26" x14ac:dyDescent="0.3">
      <c r="B184" s="125"/>
      <c r="C184" s="109" t="str">
        <f>"Subtotal "&amp;C177</f>
        <v>Subtotal Consultant Services/Contractual</v>
      </c>
      <c r="D184" s="115"/>
      <c r="E184" s="115"/>
      <c r="F184" s="774">
        <f>ROUND(SUM(F178:G183),0)</f>
        <v>0</v>
      </c>
      <c r="G184" s="774"/>
      <c r="I184" s="774">
        <f>ROUND(SUM(I178:J183),0)</f>
        <v>0</v>
      </c>
      <c r="J184" s="774"/>
      <c r="L184" s="774">
        <f>ROUND(SUM(L178:M183),0)</f>
        <v>0</v>
      </c>
      <c r="M184" s="774"/>
      <c r="O184" s="774">
        <f>ROUND(SUM(O178:P183),0)</f>
        <v>0</v>
      </c>
      <c r="P184" s="774"/>
      <c r="R184" s="774">
        <f>ROUND(SUM(R178:S183),0)</f>
        <v>0</v>
      </c>
      <c r="S184" s="774"/>
      <c r="U184" s="405"/>
      <c r="V184" s="774">
        <f>ROUND(SUM(F184:S184),0)</f>
        <v>0</v>
      </c>
      <c r="W184" s="774"/>
      <c r="X184" s="406"/>
      <c r="Z184" s="398">
        <f>ROUND(SUM(V178:W183),0)</f>
        <v>0</v>
      </c>
    </row>
    <row r="185" spans="1:26" ht="3" customHeight="1" x14ac:dyDescent="0.3">
      <c r="B185" s="125"/>
      <c r="C185" s="109"/>
      <c r="D185" s="115"/>
      <c r="E185" s="115"/>
      <c r="F185" s="278"/>
      <c r="G185" s="278"/>
      <c r="U185" s="405"/>
      <c r="X185" s="406"/>
    </row>
    <row r="186" spans="1:26" x14ac:dyDescent="0.3">
      <c r="A186" s="109"/>
      <c r="B186" s="131" t="s">
        <v>816</v>
      </c>
      <c r="C186" s="109" t="s">
        <v>821</v>
      </c>
      <c r="D186" s="115"/>
      <c r="E186" s="115"/>
      <c r="U186" s="405"/>
      <c r="X186" s="406"/>
    </row>
    <row r="187" spans="1:26" x14ac:dyDescent="0.3">
      <c r="B187" s="125"/>
      <c r="D187" s="115">
        <f>'YEAR 1'!D187</f>
        <v>0</v>
      </c>
      <c r="E187" s="115"/>
      <c r="F187" s="739">
        <f>'YEAR 1'!P187</f>
        <v>0</v>
      </c>
      <c r="G187" s="739"/>
      <c r="I187" s="739">
        <f>'YEAR 2'!P187</f>
        <v>0</v>
      </c>
      <c r="J187" s="739"/>
      <c r="L187" s="739">
        <f>'YEAR 3'!P187</f>
        <v>0</v>
      </c>
      <c r="M187" s="739"/>
      <c r="O187" s="739">
        <f>'YEAR 4'!P187</f>
        <v>0</v>
      </c>
      <c r="P187" s="739"/>
      <c r="R187" s="739">
        <f>'YEAR 5'!P187</f>
        <v>0</v>
      </c>
      <c r="S187" s="739"/>
      <c r="U187" s="405"/>
      <c r="V187" s="774">
        <f>ROUND(SUM(F187:S187),0)</f>
        <v>0</v>
      </c>
      <c r="W187" s="774"/>
      <c r="X187" s="406"/>
    </row>
    <row r="188" spans="1:26" x14ac:dyDescent="0.3">
      <c r="B188" s="125"/>
      <c r="D188" s="115">
        <f>'YEAR 1'!D188</f>
        <v>0</v>
      </c>
      <c r="E188" s="115"/>
      <c r="F188" s="739">
        <f>'YEAR 1'!P188</f>
        <v>0</v>
      </c>
      <c r="G188" s="739"/>
      <c r="I188" s="739">
        <f>'YEAR 2'!P188</f>
        <v>0</v>
      </c>
      <c r="J188" s="739"/>
      <c r="L188" s="739">
        <f>'YEAR 3'!P188</f>
        <v>0</v>
      </c>
      <c r="M188" s="739"/>
      <c r="O188" s="739">
        <f>'YEAR 4'!P188</f>
        <v>0</v>
      </c>
      <c r="P188" s="739"/>
      <c r="R188" s="739">
        <f>'YEAR 5'!P188</f>
        <v>0</v>
      </c>
      <c r="S188" s="739"/>
      <c r="U188" s="405"/>
      <c r="V188" s="774">
        <f>ROUND(SUM(F188:S188),0)</f>
        <v>0</v>
      </c>
      <c r="W188" s="774"/>
      <c r="X188" s="406"/>
    </row>
    <row r="189" spans="1:26" x14ac:dyDescent="0.3">
      <c r="B189" s="125"/>
      <c r="D189" s="115">
        <f>'YEAR 1'!D189</f>
        <v>0</v>
      </c>
      <c r="E189" s="115"/>
      <c r="F189" s="739">
        <f>'YEAR 1'!P189</f>
        <v>0</v>
      </c>
      <c r="G189" s="739"/>
      <c r="I189" s="739">
        <f>'YEAR 2'!P189</f>
        <v>0</v>
      </c>
      <c r="J189" s="739"/>
      <c r="L189" s="739">
        <f>'YEAR 3'!P189</f>
        <v>0</v>
      </c>
      <c r="M189" s="739"/>
      <c r="O189" s="739">
        <f>'YEAR 4'!P189</f>
        <v>0</v>
      </c>
      <c r="P189" s="739"/>
      <c r="R189" s="739">
        <f>'YEAR 5'!P189</f>
        <v>0</v>
      </c>
      <c r="S189" s="739"/>
      <c r="U189" s="405"/>
      <c r="V189" s="774">
        <f>ROUND(SUM(F189:S189),0)</f>
        <v>0</v>
      </c>
      <c r="W189" s="774"/>
      <c r="X189" s="406"/>
    </row>
    <row r="190" spans="1:26" x14ac:dyDescent="0.3">
      <c r="B190" s="125"/>
      <c r="D190" s="115">
        <f>'YEAR 1'!D190</f>
        <v>0</v>
      </c>
      <c r="E190" s="115"/>
      <c r="F190" s="739">
        <f>'YEAR 1'!P190</f>
        <v>0</v>
      </c>
      <c r="G190" s="739"/>
      <c r="I190" s="739">
        <f>'YEAR 2'!P190</f>
        <v>0</v>
      </c>
      <c r="J190" s="739"/>
      <c r="L190" s="739">
        <f>'YEAR 3'!P190</f>
        <v>0</v>
      </c>
      <c r="M190" s="739"/>
      <c r="O190" s="739">
        <f>'YEAR 4'!P190</f>
        <v>0</v>
      </c>
      <c r="P190" s="739"/>
      <c r="R190" s="739">
        <f>'YEAR 5'!P190</f>
        <v>0</v>
      </c>
      <c r="S190" s="739"/>
      <c r="U190" s="405"/>
      <c r="V190" s="774">
        <f>ROUND(SUM(F190:S190),0)</f>
        <v>0</v>
      </c>
      <c r="W190" s="774"/>
      <c r="X190" s="406"/>
    </row>
    <row r="191" spans="1:26" x14ac:dyDescent="0.3">
      <c r="B191" s="125"/>
      <c r="D191" s="115">
        <f>'YEAR 1'!D191</f>
        <v>0</v>
      </c>
      <c r="E191" s="115"/>
      <c r="F191" s="739">
        <f>'YEAR 1'!P191</f>
        <v>0</v>
      </c>
      <c r="G191" s="739"/>
      <c r="I191" s="739">
        <f>'YEAR 2'!P191</f>
        <v>0</v>
      </c>
      <c r="J191" s="739"/>
      <c r="L191" s="739">
        <f>'YEAR 3'!P191</f>
        <v>0</v>
      </c>
      <c r="M191" s="739"/>
      <c r="O191" s="739">
        <f>'YEAR 4'!P191</f>
        <v>0</v>
      </c>
      <c r="P191" s="739"/>
      <c r="R191" s="739">
        <f>'YEAR 5'!P191</f>
        <v>0</v>
      </c>
      <c r="S191" s="739"/>
      <c r="U191" s="405"/>
      <c r="V191" s="774">
        <f>ROUND(SUM(F191:S191),0)</f>
        <v>0</v>
      </c>
      <c r="W191" s="774"/>
      <c r="X191" s="406"/>
    </row>
    <row r="192" spans="1:26" ht="3" customHeight="1" x14ac:dyDescent="0.3">
      <c r="B192" s="125"/>
      <c r="D192" s="132"/>
      <c r="E192" s="132"/>
      <c r="F192" s="763"/>
      <c r="G192" s="763"/>
      <c r="H192" s="296"/>
      <c r="I192" s="296"/>
      <c r="J192" s="296"/>
      <c r="K192" s="296"/>
      <c r="L192" s="296"/>
      <c r="M192" s="296"/>
      <c r="N192" s="296"/>
      <c r="O192" s="296"/>
      <c r="P192" s="296"/>
      <c r="Q192" s="296"/>
      <c r="R192" s="296"/>
      <c r="S192" s="296"/>
      <c r="T192" s="296"/>
      <c r="U192" s="409"/>
      <c r="V192" s="781"/>
      <c r="W192" s="781"/>
      <c r="X192" s="406"/>
    </row>
    <row r="193" spans="1:26" x14ac:dyDescent="0.3">
      <c r="B193" s="125"/>
      <c r="C193" s="109" t="str">
        <f>"Subtotal "&amp;C186</f>
        <v>Subtotal Fee for Service/Contractual</v>
      </c>
      <c r="D193" s="115"/>
      <c r="E193" s="115"/>
      <c r="F193" s="774">
        <f>ROUND(SUM(F187:G192),0)</f>
        <v>0</v>
      </c>
      <c r="G193" s="774"/>
      <c r="I193" s="774">
        <f>ROUND(SUM(I187:J192),0)</f>
        <v>0</v>
      </c>
      <c r="J193" s="774"/>
      <c r="L193" s="774">
        <f>ROUND(SUM(L187:M192),0)</f>
        <v>0</v>
      </c>
      <c r="M193" s="774"/>
      <c r="O193" s="774">
        <f>ROUND(SUM(O187:P192),0)</f>
        <v>0</v>
      </c>
      <c r="P193" s="774"/>
      <c r="R193" s="774">
        <f>ROUND(SUM(R187:S192),0)</f>
        <v>0</v>
      </c>
      <c r="S193" s="774"/>
      <c r="U193" s="405"/>
      <c r="V193" s="774">
        <f>ROUND(SUM(F193:S193),0)</f>
        <v>0</v>
      </c>
      <c r="W193" s="774"/>
      <c r="X193" s="406"/>
      <c r="Z193" s="398">
        <f>ROUND(SUM(V187:W192),0)</f>
        <v>0</v>
      </c>
    </row>
    <row r="194" spans="1:26" ht="3" customHeight="1" x14ac:dyDescent="0.3">
      <c r="B194" s="125"/>
      <c r="C194" s="109"/>
      <c r="D194" s="115"/>
      <c r="E194" s="115"/>
      <c r="F194" s="278"/>
      <c r="G194" s="278"/>
      <c r="U194" s="405"/>
      <c r="X194" s="406"/>
    </row>
    <row r="195" spans="1:26" x14ac:dyDescent="0.3">
      <c r="A195" s="109"/>
      <c r="B195" s="131" t="s">
        <v>817</v>
      </c>
      <c r="C195" s="109" t="s">
        <v>848</v>
      </c>
      <c r="D195" s="115"/>
      <c r="E195" s="115"/>
      <c r="U195" s="405"/>
      <c r="X195" s="406"/>
    </row>
    <row r="196" spans="1:26" x14ac:dyDescent="0.3">
      <c r="B196" s="125"/>
      <c r="D196" s="115">
        <f>'YEAR 1'!D196</f>
        <v>0</v>
      </c>
      <c r="E196" s="115"/>
      <c r="F196" s="739">
        <f>'YEAR 1'!P196</f>
        <v>0</v>
      </c>
      <c r="G196" s="739"/>
      <c r="I196" s="739">
        <f>'YEAR 2'!P196</f>
        <v>0</v>
      </c>
      <c r="J196" s="739"/>
      <c r="L196" s="739">
        <f>'YEAR 3'!P196</f>
        <v>0</v>
      </c>
      <c r="M196" s="739"/>
      <c r="O196" s="739">
        <f>'YEAR 4'!P196</f>
        <v>0</v>
      </c>
      <c r="P196" s="739"/>
      <c r="R196" s="739">
        <f>'YEAR 5'!P196</f>
        <v>0</v>
      </c>
      <c r="S196" s="739"/>
      <c r="U196" s="405"/>
      <c r="V196" s="774">
        <f>ROUND(SUM(F196:S196),0)</f>
        <v>0</v>
      </c>
      <c r="W196" s="774"/>
      <c r="X196" s="406"/>
    </row>
    <row r="197" spans="1:26" x14ac:dyDescent="0.3">
      <c r="B197" s="125"/>
      <c r="D197" s="115">
        <f>'YEAR 1'!D197</f>
        <v>0</v>
      </c>
      <c r="E197" s="115"/>
      <c r="F197" s="739">
        <f>'YEAR 1'!P197</f>
        <v>0</v>
      </c>
      <c r="G197" s="739"/>
      <c r="I197" s="739">
        <f>'YEAR 2'!P197</f>
        <v>0</v>
      </c>
      <c r="J197" s="739"/>
      <c r="L197" s="739">
        <f>'YEAR 3'!P197</f>
        <v>0</v>
      </c>
      <c r="M197" s="739"/>
      <c r="O197" s="739">
        <f>'YEAR 4'!P197</f>
        <v>0</v>
      </c>
      <c r="P197" s="739"/>
      <c r="R197" s="739">
        <f>'YEAR 5'!P197</f>
        <v>0</v>
      </c>
      <c r="S197" s="739"/>
      <c r="U197" s="405"/>
      <c r="V197" s="774">
        <f>ROUND(SUM(F197:S197),0)</f>
        <v>0</v>
      </c>
      <c r="W197" s="774"/>
      <c r="X197" s="406"/>
    </row>
    <row r="198" spans="1:26" ht="15" customHeight="1" x14ac:dyDescent="0.3">
      <c r="B198" s="125"/>
      <c r="D198" s="115">
        <f>'YEAR 1'!D198</f>
        <v>0</v>
      </c>
      <c r="E198" s="115"/>
      <c r="F198" s="739">
        <f>'YEAR 1'!P198</f>
        <v>0</v>
      </c>
      <c r="G198" s="739"/>
      <c r="I198" s="739">
        <f>'YEAR 2'!P198</f>
        <v>0</v>
      </c>
      <c r="J198" s="739"/>
      <c r="L198" s="739">
        <f>'YEAR 3'!P198</f>
        <v>0</v>
      </c>
      <c r="M198" s="739"/>
      <c r="O198" s="739">
        <f>'YEAR 4'!P198</f>
        <v>0</v>
      </c>
      <c r="P198" s="739"/>
      <c r="R198" s="739">
        <f>'YEAR 5'!P198</f>
        <v>0</v>
      </c>
      <c r="S198" s="739"/>
      <c r="U198" s="405"/>
      <c r="V198" s="774">
        <f>ROUND(SUM(F198:S198),0)</f>
        <v>0</v>
      </c>
      <c r="W198" s="774"/>
      <c r="X198" s="406"/>
    </row>
    <row r="199" spans="1:26" x14ac:dyDescent="0.3">
      <c r="B199" s="125"/>
      <c r="D199" s="115">
        <f>'YEAR 1'!D199</f>
        <v>0</v>
      </c>
      <c r="E199" s="115"/>
      <c r="F199" s="739">
        <f>'YEAR 1'!P199</f>
        <v>0</v>
      </c>
      <c r="G199" s="739"/>
      <c r="I199" s="739">
        <f>'YEAR 2'!P199</f>
        <v>0</v>
      </c>
      <c r="J199" s="739"/>
      <c r="L199" s="739">
        <f>'YEAR 3'!P199</f>
        <v>0</v>
      </c>
      <c r="M199" s="739"/>
      <c r="O199" s="739">
        <f>'YEAR 4'!P199</f>
        <v>0</v>
      </c>
      <c r="P199" s="739"/>
      <c r="R199" s="739">
        <f>'YEAR 5'!P199</f>
        <v>0</v>
      </c>
      <c r="S199" s="739"/>
      <c r="U199" s="405"/>
      <c r="V199" s="774">
        <f>ROUND(SUM(F199:S199),0)</f>
        <v>0</v>
      </c>
      <c r="W199" s="774"/>
      <c r="X199" s="406"/>
    </row>
    <row r="200" spans="1:26" x14ac:dyDescent="0.3">
      <c r="B200" s="125"/>
      <c r="D200" s="115">
        <f>'YEAR 1'!D200</f>
        <v>0</v>
      </c>
      <c r="E200" s="115"/>
      <c r="F200" s="739">
        <f>'YEAR 1'!P200</f>
        <v>0</v>
      </c>
      <c r="G200" s="739"/>
      <c r="I200" s="739">
        <f>'YEAR 2'!P200</f>
        <v>0</v>
      </c>
      <c r="J200" s="739"/>
      <c r="L200" s="739">
        <f>'YEAR 3'!P200</f>
        <v>0</v>
      </c>
      <c r="M200" s="739"/>
      <c r="O200" s="739">
        <f>'YEAR 4'!P200</f>
        <v>0</v>
      </c>
      <c r="P200" s="739"/>
      <c r="R200" s="739">
        <f>'YEAR 5'!P200</f>
        <v>0</v>
      </c>
      <c r="S200" s="739"/>
      <c r="U200" s="405"/>
      <c r="V200" s="774">
        <f>ROUND(SUM(F200:S200),0)</f>
        <v>0</v>
      </c>
      <c r="W200" s="774"/>
      <c r="X200" s="406"/>
    </row>
    <row r="201" spans="1:26" ht="3" customHeight="1" x14ac:dyDescent="0.3">
      <c r="B201" s="125"/>
      <c r="D201" s="132"/>
      <c r="E201" s="132"/>
      <c r="F201" s="763"/>
      <c r="G201" s="763"/>
      <c r="H201" s="296"/>
      <c r="I201" s="296"/>
      <c r="J201" s="296"/>
      <c r="K201" s="296"/>
      <c r="L201" s="296"/>
      <c r="M201" s="296"/>
      <c r="N201" s="296"/>
      <c r="O201" s="296"/>
      <c r="P201" s="296"/>
      <c r="Q201" s="296"/>
      <c r="R201" s="296"/>
      <c r="S201" s="296"/>
      <c r="T201" s="296"/>
      <c r="U201" s="409"/>
      <c r="V201" s="781"/>
      <c r="W201" s="781"/>
      <c r="X201" s="406"/>
    </row>
    <row r="202" spans="1:26" x14ac:dyDescent="0.3">
      <c r="B202" s="125"/>
      <c r="C202" s="109" t="str">
        <f>"Subtotal "&amp;C195</f>
        <v>Subtotal Subawards/Contractual</v>
      </c>
      <c r="D202" s="115"/>
      <c r="E202" s="115"/>
      <c r="F202" s="774">
        <f>ROUND(SUM(F196:G201),0)</f>
        <v>0</v>
      </c>
      <c r="G202" s="774"/>
      <c r="I202" s="774">
        <f>ROUND(SUM(I196:J201),0)</f>
        <v>0</v>
      </c>
      <c r="J202" s="774"/>
      <c r="L202" s="774">
        <f>ROUND(SUM(L196:M201),0)</f>
        <v>0</v>
      </c>
      <c r="M202" s="774"/>
      <c r="O202" s="774">
        <f>ROUND(SUM(O196:P201),0)</f>
        <v>0</v>
      </c>
      <c r="P202" s="774"/>
      <c r="R202" s="774">
        <f>ROUND(SUM(R196:S201),0)</f>
        <v>0</v>
      </c>
      <c r="S202" s="774"/>
      <c r="U202" s="405"/>
      <c r="V202" s="774">
        <f>ROUND(SUM(F202:S202),0)</f>
        <v>0</v>
      </c>
      <c r="W202" s="774"/>
      <c r="X202" s="406"/>
      <c r="Z202" s="398">
        <f>ROUND(SUM(V196:W201),0)</f>
        <v>0</v>
      </c>
    </row>
    <row r="203" spans="1:26" ht="1.5" customHeight="1" x14ac:dyDescent="0.3">
      <c r="B203" s="125"/>
      <c r="C203" s="109"/>
      <c r="D203" s="115"/>
      <c r="E203" s="115"/>
      <c r="F203" s="278"/>
      <c r="G203" s="278"/>
      <c r="U203" s="405"/>
      <c r="X203" s="406"/>
    </row>
    <row r="204" spans="1:26" x14ac:dyDescent="0.3">
      <c r="A204" s="109"/>
      <c r="B204" s="131" t="s">
        <v>823</v>
      </c>
      <c r="C204" s="109" t="s">
        <v>824</v>
      </c>
      <c r="D204" s="115"/>
      <c r="E204" s="115"/>
      <c r="U204" s="405"/>
      <c r="X204" s="406"/>
    </row>
    <row r="205" spans="1:26" x14ac:dyDescent="0.3">
      <c r="B205" s="125"/>
      <c r="C205" s="113"/>
      <c r="D205" s="570">
        <f>'YEAR 1'!D205</f>
        <v>0</v>
      </c>
      <c r="E205" s="115"/>
      <c r="F205" s="739">
        <f>'YEAR 1'!P205</f>
        <v>0</v>
      </c>
      <c r="G205" s="739"/>
      <c r="I205" s="739">
        <f>'YEAR 2'!P205</f>
        <v>0</v>
      </c>
      <c r="J205" s="739"/>
      <c r="L205" s="739">
        <f>'YEAR 3'!P205</f>
        <v>0</v>
      </c>
      <c r="M205" s="739"/>
      <c r="O205" s="739">
        <f>'YEAR 4'!P205</f>
        <v>0</v>
      </c>
      <c r="P205" s="739"/>
      <c r="R205" s="739">
        <f>'YEAR 5'!P205</f>
        <v>0</v>
      </c>
      <c r="S205" s="739"/>
      <c r="U205" s="405"/>
      <c r="V205" s="774">
        <f>ROUND(SUM(F205:S205),0)</f>
        <v>0</v>
      </c>
      <c r="W205" s="774"/>
      <c r="X205" s="406"/>
    </row>
    <row r="206" spans="1:26" x14ac:dyDescent="0.3">
      <c r="B206" s="125"/>
      <c r="C206" s="113"/>
      <c r="D206" s="570">
        <f>'YEAR 1'!D206</f>
        <v>0</v>
      </c>
      <c r="E206" s="115"/>
      <c r="F206" s="739">
        <f>'YEAR 1'!P206</f>
        <v>0</v>
      </c>
      <c r="G206" s="739"/>
      <c r="I206" s="739">
        <f>'YEAR 2'!P206</f>
        <v>0</v>
      </c>
      <c r="J206" s="739"/>
      <c r="L206" s="739">
        <f>'YEAR 3'!P206</f>
        <v>0</v>
      </c>
      <c r="M206" s="739"/>
      <c r="O206" s="739">
        <f>'YEAR 4'!P206</f>
        <v>0</v>
      </c>
      <c r="P206" s="739"/>
      <c r="R206" s="739">
        <f>'YEAR 5'!P206</f>
        <v>0</v>
      </c>
      <c r="S206" s="739"/>
      <c r="U206" s="405"/>
      <c r="V206" s="774">
        <f>ROUND(SUM(F206:S206),0)</f>
        <v>0</v>
      </c>
      <c r="W206" s="774"/>
      <c r="X206" s="406"/>
    </row>
    <row r="207" spans="1:26" x14ac:dyDescent="0.3">
      <c r="B207" s="125"/>
      <c r="D207" s="570">
        <f>'YEAR 1'!D207</f>
        <v>0</v>
      </c>
      <c r="E207" s="115"/>
      <c r="F207" s="739">
        <f>'YEAR 1'!P207</f>
        <v>0</v>
      </c>
      <c r="G207" s="739"/>
      <c r="I207" s="739">
        <f>'YEAR 2'!P207</f>
        <v>0</v>
      </c>
      <c r="J207" s="739"/>
      <c r="L207" s="739">
        <f>'YEAR 3'!P207</f>
        <v>0</v>
      </c>
      <c r="M207" s="739"/>
      <c r="O207" s="739">
        <f>'YEAR 4'!P207</f>
        <v>0</v>
      </c>
      <c r="P207" s="739"/>
      <c r="R207" s="739">
        <f>'YEAR 5'!P207</f>
        <v>0</v>
      </c>
      <c r="S207" s="739"/>
      <c r="U207" s="405"/>
      <c r="V207" s="774">
        <f>ROUND(SUM(F207:S207),0)</f>
        <v>0</v>
      </c>
      <c r="W207" s="774"/>
      <c r="X207" s="406"/>
    </row>
    <row r="208" spans="1:26" x14ac:dyDescent="0.3">
      <c r="B208" s="125"/>
      <c r="D208" s="115">
        <f>'YEAR 1'!D208</f>
        <v>0</v>
      </c>
      <c r="E208" s="115"/>
      <c r="F208" s="739">
        <f>'YEAR 1'!P208</f>
        <v>0</v>
      </c>
      <c r="G208" s="739"/>
      <c r="I208" s="739">
        <f>'YEAR 2'!P208</f>
        <v>0</v>
      </c>
      <c r="J208" s="739"/>
      <c r="L208" s="739">
        <f>'YEAR 3'!P208</f>
        <v>0</v>
      </c>
      <c r="M208" s="739"/>
      <c r="O208" s="739">
        <f>'YEAR 4'!P208</f>
        <v>0</v>
      </c>
      <c r="P208" s="739"/>
      <c r="R208" s="739">
        <f>'YEAR 5'!P208</f>
        <v>0</v>
      </c>
      <c r="S208" s="739"/>
      <c r="U208" s="405"/>
      <c r="V208" s="774">
        <f>ROUND(SUM(F208:S208),0)</f>
        <v>0</v>
      </c>
      <c r="W208" s="774"/>
      <c r="X208" s="406"/>
    </row>
    <row r="209" spans="1:26" x14ac:dyDescent="0.3">
      <c r="B209" s="125"/>
      <c r="D209" s="115">
        <f>'YEAR 1'!D209</f>
        <v>0</v>
      </c>
      <c r="E209" s="115"/>
      <c r="F209" s="739">
        <f>'YEAR 1'!P209</f>
        <v>0</v>
      </c>
      <c r="G209" s="739"/>
      <c r="I209" s="739">
        <f>'YEAR 2'!P209</f>
        <v>0</v>
      </c>
      <c r="J209" s="739"/>
      <c r="L209" s="739">
        <f>'YEAR 3'!P209</f>
        <v>0</v>
      </c>
      <c r="M209" s="739"/>
      <c r="O209" s="739">
        <f>'YEAR 4'!P209</f>
        <v>0</v>
      </c>
      <c r="P209" s="739"/>
      <c r="R209" s="739">
        <f>'YEAR 5'!P209</f>
        <v>0</v>
      </c>
      <c r="S209" s="739"/>
      <c r="U209" s="405"/>
      <c r="V209" s="774">
        <f>ROUND(SUM(F209:S209),0)</f>
        <v>0</v>
      </c>
      <c r="W209" s="774"/>
      <c r="X209" s="406"/>
    </row>
    <row r="210" spans="1:26" ht="3" customHeight="1" x14ac:dyDescent="0.3">
      <c r="B210" s="125"/>
      <c r="D210" s="132"/>
      <c r="E210" s="132"/>
      <c r="F210" s="763"/>
      <c r="G210" s="763"/>
      <c r="H210" s="296"/>
      <c r="I210" s="296"/>
      <c r="J210" s="296"/>
      <c r="K210" s="296"/>
      <c r="L210" s="296"/>
      <c r="M210" s="296"/>
      <c r="N210" s="296"/>
      <c r="O210" s="296"/>
      <c r="P210" s="296"/>
      <c r="Q210" s="296"/>
      <c r="R210" s="296"/>
      <c r="S210" s="296"/>
      <c r="T210" s="296"/>
      <c r="U210" s="409"/>
      <c r="V210" s="781"/>
      <c r="W210" s="781"/>
      <c r="X210" s="406"/>
    </row>
    <row r="211" spans="1:26" x14ac:dyDescent="0.3">
      <c r="B211" s="125"/>
      <c r="C211" s="109" t="str">
        <f>"Subtotal "&amp;C204</f>
        <v>Subtotal Equipment/Facility Rental Fees</v>
      </c>
      <c r="D211" s="115"/>
      <c r="E211" s="115"/>
      <c r="F211" s="774">
        <f>ROUND(SUM(F205:G210),0)</f>
        <v>0</v>
      </c>
      <c r="G211" s="774"/>
      <c r="I211" s="774">
        <f>ROUND(SUM(I205:J210),0)</f>
        <v>0</v>
      </c>
      <c r="J211" s="774"/>
      <c r="L211" s="774">
        <f>ROUND(SUM(L205:M210),0)</f>
        <v>0</v>
      </c>
      <c r="M211" s="774"/>
      <c r="O211" s="774">
        <f>ROUND(SUM(O205:P210),0)</f>
        <v>0</v>
      </c>
      <c r="P211" s="774"/>
      <c r="R211" s="774">
        <f>ROUND(SUM(R205:S210),0)</f>
        <v>0</v>
      </c>
      <c r="S211" s="774"/>
      <c r="U211" s="405"/>
      <c r="V211" s="774">
        <f>ROUND(SUM(F211:S211),0)</f>
        <v>0</v>
      </c>
      <c r="W211" s="774"/>
      <c r="X211" s="406"/>
      <c r="Z211" s="398">
        <f>ROUND(SUM(V205:W210),0)</f>
        <v>0</v>
      </c>
    </row>
    <row r="212" spans="1:26" ht="3" customHeight="1" x14ac:dyDescent="0.3">
      <c r="B212" s="125"/>
      <c r="C212" s="109"/>
      <c r="D212" s="115"/>
      <c r="E212" s="115"/>
      <c r="F212" s="278"/>
      <c r="G212" s="278"/>
      <c r="U212" s="405"/>
      <c r="X212" s="406"/>
    </row>
    <row r="213" spans="1:26" x14ac:dyDescent="0.3">
      <c r="A213" s="109"/>
      <c r="B213" s="131" t="s">
        <v>825</v>
      </c>
      <c r="C213" s="109" t="s">
        <v>826</v>
      </c>
      <c r="D213" s="115"/>
      <c r="E213" s="115"/>
      <c r="U213" s="405"/>
      <c r="X213" s="406"/>
    </row>
    <row r="214" spans="1:26" x14ac:dyDescent="0.3">
      <c r="B214" s="125"/>
      <c r="D214" s="115">
        <f>'YEAR 1'!D214</f>
        <v>0</v>
      </c>
      <c r="E214" s="115"/>
      <c r="F214" s="739">
        <f>'YEAR 1'!P214</f>
        <v>0</v>
      </c>
      <c r="G214" s="739"/>
      <c r="I214" s="739">
        <f>'YEAR 2'!P214</f>
        <v>0</v>
      </c>
      <c r="J214" s="739"/>
      <c r="L214" s="739">
        <f>'YEAR 3'!P214</f>
        <v>0</v>
      </c>
      <c r="M214" s="739"/>
      <c r="O214" s="739">
        <f>'YEAR 4'!P214</f>
        <v>0</v>
      </c>
      <c r="P214" s="739"/>
      <c r="R214" s="739">
        <f>'YEAR 5'!P214</f>
        <v>0</v>
      </c>
      <c r="S214" s="739"/>
      <c r="U214" s="405"/>
      <c r="V214" s="774">
        <f>ROUND(SUM(F214:S214),0)</f>
        <v>0</v>
      </c>
      <c r="W214" s="774"/>
      <c r="X214" s="406"/>
    </row>
    <row r="215" spans="1:26" x14ac:dyDescent="0.3">
      <c r="B215" s="125"/>
      <c r="D215" s="115">
        <f>'YEAR 1'!D215</f>
        <v>0</v>
      </c>
      <c r="E215" s="115"/>
      <c r="F215" s="739">
        <f>'YEAR 1'!P215</f>
        <v>0</v>
      </c>
      <c r="G215" s="739"/>
      <c r="I215" s="739">
        <f>'YEAR 2'!P215</f>
        <v>0</v>
      </c>
      <c r="J215" s="739"/>
      <c r="L215" s="739">
        <f>'YEAR 3'!P215</f>
        <v>0</v>
      </c>
      <c r="M215" s="739"/>
      <c r="O215" s="739">
        <f>'YEAR 4'!P215</f>
        <v>0</v>
      </c>
      <c r="P215" s="739"/>
      <c r="R215" s="739">
        <f>'YEAR 5'!P215</f>
        <v>0</v>
      </c>
      <c r="S215" s="739"/>
      <c r="U215" s="405"/>
      <c r="V215" s="774">
        <f>ROUND(SUM(F215:S215),0)</f>
        <v>0</v>
      </c>
      <c r="W215" s="774"/>
      <c r="X215" s="406"/>
    </row>
    <row r="216" spans="1:26" x14ac:dyDescent="0.3">
      <c r="B216" s="125"/>
      <c r="D216" s="115">
        <f>'YEAR 1'!D216</f>
        <v>0</v>
      </c>
      <c r="E216" s="115"/>
      <c r="F216" s="739">
        <f>'YEAR 1'!P216</f>
        <v>0</v>
      </c>
      <c r="G216" s="739"/>
      <c r="I216" s="739">
        <f>'YEAR 2'!P216</f>
        <v>0</v>
      </c>
      <c r="J216" s="739"/>
      <c r="L216" s="739">
        <f>'YEAR 3'!P216</f>
        <v>0</v>
      </c>
      <c r="M216" s="739"/>
      <c r="O216" s="739">
        <f>'YEAR 4'!P216</f>
        <v>0</v>
      </c>
      <c r="P216" s="739"/>
      <c r="R216" s="739">
        <f>'YEAR 5'!P216</f>
        <v>0</v>
      </c>
      <c r="S216" s="739"/>
      <c r="U216" s="405"/>
      <c r="V216" s="774">
        <f>ROUND(SUM(F216:S216),0)</f>
        <v>0</v>
      </c>
      <c r="W216" s="774"/>
      <c r="X216" s="406"/>
    </row>
    <row r="217" spans="1:26" x14ac:dyDescent="0.3">
      <c r="B217" s="125"/>
      <c r="D217" s="115">
        <f>'YEAR 1'!D217</f>
        <v>0</v>
      </c>
      <c r="E217" s="115"/>
      <c r="F217" s="739">
        <f>'YEAR 1'!P217</f>
        <v>0</v>
      </c>
      <c r="G217" s="739"/>
      <c r="I217" s="739">
        <f>'YEAR 2'!P217</f>
        <v>0</v>
      </c>
      <c r="J217" s="739"/>
      <c r="L217" s="739">
        <f>'YEAR 3'!P217</f>
        <v>0</v>
      </c>
      <c r="M217" s="739"/>
      <c r="O217" s="739">
        <f>'YEAR 4'!P217</f>
        <v>0</v>
      </c>
      <c r="P217" s="739"/>
      <c r="R217" s="739">
        <f>'YEAR 5'!P217</f>
        <v>0</v>
      </c>
      <c r="S217" s="739"/>
      <c r="U217" s="405"/>
      <c r="V217" s="774">
        <f>ROUND(SUM(F217:S217),0)</f>
        <v>0</v>
      </c>
      <c r="W217" s="774"/>
      <c r="X217" s="406"/>
    </row>
    <row r="218" spans="1:26" x14ac:dyDescent="0.3">
      <c r="B218" s="125"/>
      <c r="D218" s="115">
        <f>'YEAR 1'!D218</f>
        <v>0</v>
      </c>
      <c r="E218" s="115"/>
      <c r="F218" s="739">
        <f>'YEAR 1'!P218</f>
        <v>0</v>
      </c>
      <c r="G218" s="739"/>
      <c r="I218" s="739">
        <f>'YEAR 2'!P218</f>
        <v>0</v>
      </c>
      <c r="J218" s="739"/>
      <c r="L218" s="739">
        <f>'YEAR 3'!P218</f>
        <v>0</v>
      </c>
      <c r="M218" s="739"/>
      <c r="O218" s="739">
        <f>'YEAR 4'!P218</f>
        <v>0</v>
      </c>
      <c r="P218" s="739"/>
      <c r="R218" s="739">
        <f>'YEAR 5'!P218</f>
        <v>0</v>
      </c>
      <c r="S218" s="739"/>
      <c r="U218" s="405"/>
      <c r="V218" s="774">
        <f>ROUND(SUM(F218:S218),0)</f>
        <v>0</v>
      </c>
      <c r="W218" s="774"/>
      <c r="X218" s="406"/>
    </row>
    <row r="219" spans="1:26" ht="3" customHeight="1" x14ac:dyDescent="0.3">
      <c r="B219" s="125"/>
      <c r="D219" s="132"/>
      <c r="E219" s="132"/>
      <c r="F219" s="763"/>
      <c r="G219" s="763"/>
      <c r="H219" s="296"/>
      <c r="I219" s="296"/>
      <c r="J219" s="296"/>
      <c r="K219" s="296"/>
      <c r="L219" s="296"/>
      <c r="M219" s="296"/>
      <c r="N219" s="296"/>
      <c r="O219" s="296"/>
      <c r="P219" s="296"/>
      <c r="Q219" s="296"/>
      <c r="R219" s="296"/>
      <c r="S219" s="296"/>
      <c r="T219" s="296"/>
      <c r="U219" s="409"/>
      <c r="V219" s="781"/>
      <c r="W219" s="781"/>
      <c r="X219" s="406"/>
    </row>
    <row r="220" spans="1:26" x14ac:dyDescent="0.3">
      <c r="B220" s="125"/>
      <c r="C220" s="109" t="str">
        <f>"Subtotal "&amp;C213</f>
        <v>Subtotal Alterations/Renovations</v>
      </c>
      <c r="D220" s="115"/>
      <c r="E220" s="115"/>
      <c r="F220" s="774">
        <f>ROUND(SUM(F214:G219),0)</f>
        <v>0</v>
      </c>
      <c r="G220" s="774"/>
      <c r="I220" s="774">
        <f>ROUND(SUM(I214:J219),0)</f>
        <v>0</v>
      </c>
      <c r="J220" s="774"/>
      <c r="L220" s="774">
        <f>ROUND(SUM(L214:M219),0)</f>
        <v>0</v>
      </c>
      <c r="M220" s="774"/>
      <c r="O220" s="774">
        <f>ROUND(SUM(O214:P219),0)</f>
        <v>0</v>
      </c>
      <c r="P220" s="774"/>
      <c r="R220" s="774">
        <f>ROUND(SUM(R214:S219),0)</f>
        <v>0</v>
      </c>
      <c r="S220" s="774"/>
      <c r="U220" s="405"/>
      <c r="V220" s="774">
        <f>ROUND(SUM(F220:S220),0)</f>
        <v>0</v>
      </c>
      <c r="W220" s="774"/>
      <c r="X220" s="406"/>
      <c r="Z220" s="398">
        <f>ROUND(SUM(V214:W219),0)</f>
        <v>0</v>
      </c>
    </row>
    <row r="221" spans="1:26" ht="3" customHeight="1" x14ac:dyDescent="0.3">
      <c r="B221" s="125"/>
      <c r="C221" s="109"/>
      <c r="D221" s="115"/>
      <c r="E221" s="115"/>
      <c r="F221" s="278"/>
      <c r="G221" s="278"/>
      <c r="U221" s="405"/>
      <c r="X221" s="406"/>
    </row>
    <row r="222" spans="1:26" x14ac:dyDescent="0.3">
      <c r="A222" s="109"/>
      <c r="B222" s="131" t="s">
        <v>827</v>
      </c>
      <c r="C222" s="109" t="s">
        <v>679</v>
      </c>
      <c r="D222" s="115"/>
      <c r="E222" s="115"/>
      <c r="U222" s="405"/>
      <c r="X222" s="406"/>
    </row>
    <row r="223" spans="1:26" x14ac:dyDescent="0.3">
      <c r="B223" s="279" t="s">
        <v>828</v>
      </c>
      <c r="C223" s="109" t="s">
        <v>829</v>
      </c>
      <c r="D223" s="115"/>
      <c r="E223" s="115"/>
      <c r="F223" s="739"/>
      <c r="G223" s="739"/>
      <c r="U223" s="405"/>
      <c r="V223" s="774"/>
      <c r="W223" s="774"/>
      <c r="X223" s="406"/>
    </row>
    <row r="224" spans="1:26" x14ac:dyDescent="0.3">
      <c r="B224" s="125"/>
      <c r="D224" s="116" t="s">
        <v>830</v>
      </c>
      <c r="E224" s="115"/>
      <c r="F224" s="739"/>
      <c r="G224" s="739"/>
      <c r="I224" s="739"/>
      <c r="J224" s="739"/>
      <c r="L224" s="739"/>
      <c r="M224" s="739"/>
      <c r="O224" s="739"/>
      <c r="P224" s="739"/>
      <c r="R224" s="739"/>
      <c r="S224" s="739"/>
      <c r="U224" s="405"/>
      <c r="V224" s="774"/>
      <c r="W224" s="774"/>
      <c r="X224" s="406"/>
    </row>
    <row r="225" spans="1:27" x14ac:dyDescent="0.3">
      <c r="B225" s="125"/>
      <c r="D225" s="116" t="s">
        <v>849</v>
      </c>
      <c r="E225" s="115"/>
      <c r="F225" s="739">
        <f>'YEAR 1'!P225</f>
        <v>0</v>
      </c>
      <c r="G225" s="739"/>
      <c r="I225" s="739">
        <f>'YEAR 2'!P225</f>
        <v>0</v>
      </c>
      <c r="J225" s="739"/>
      <c r="L225" s="739">
        <f>'YEAR 3'!P225</f>
        <v>0</v>
      </c>
      <c r="M225" s="739"/>
      <c r="O225" s="739">
        <f>'YEAR 4'!P225</f>
        <v>0</v>
      </c>
      <c r="P225" s="739"/>
      <c r="R225" s="739">
        <f>'YEAR 5'!P225</f>
        <v>0</v>
      </c>
      <c r="S225" s="739"/>
      <c r="U225" s="405"/>
      <c r="V225" s="774">
        <f>ROUND(SUM(F225:S225),0)</f>
        <v>0</v>
      </c>
      <c r="W225" s="774"/>
      <c r="X225" s="406"/>
    </row>
    <row r="226" spans="1:27" x14ac:dyDescent="0.3">
      <c r="B226" s="125"/>
      <c r="C226" s="156"/>
      <c r="D226" s="116" t="s">
        <v>850</v>
      </c>
      <c r="E226" s="115"/>
      <c r="F226" s="739">
        <f>'YEAR 1'!P226</f>
        <v>0</v>
      </c>
      <c r="G226" s="739"/>
      <c r="I226" s="739">
        <f>'YEAR 2'!P226</f>
        <v>0</v>
      </c>
      <c r="J226" s="739"/>
      <c r="L226" s="739">
        <f>'YEAR 3'!P226</f>
        <v>0</v>
      </c>
      <c r="M226" s="739"/>
      <c r="O226" s="739">
        <f>'YEAR 4'!P226</f>
        <v>0</v>
      </c>
      <c r="P226" s="739"/>
      <c r="R226" s="739">
        <f>'YEAR 5'!P226</f>
        <v>0</v>
      </c>
      <c r="S226" s="739"/>
      <c r="U226" s="405"/>
      <c r="V226" s="774">
        <f>ROUND(SUM(F226:S226),0)</f>
        <v>0</v>
      </c>
      <c r="W226" s="774"/>
      <c r="X226" s="406"/>
    </row>
    <row r="227" spans="1:27" x14ac:dyDescent="0.3">
      <c r="B227" s="125"/>
      <c r="D227" s="116" t="s">
        <v>851</v>
      </c>
      <c r="E227" s="115"/>
      <c r="F227" s="739">
        <f>'YEAR 1'!P227</f>
        <v>0</v>
      </c>
      <c r="G227" s="739"/>
      <c r="I227" s="739">
        <f>'YEAR 2'!P227</f>
        <v>0</v>
      </c>
      <c r="J227" s="739"/>
      <c r="L227" s="739">
        <f>'YEAR 3'!P227</f>
        <v>0</v>
      </c>
      <c r="M227" s="739"/>
      <c r="O227" s="739">
        <f>'YEAR 4'!P227</f>
        <v>0</v>
      </c>
      <c r="P227" s="739"/>
      <c r="R227" s="739">
        <f>'YEAR 5'!P227</f>
        <v>0</v>
      </c>
      <c r="S227" s="739"/>
      <c r="U227" s="405"/>
      <c r="V227" s="774">
        <f>ROUND(SUM(F227:S227),0)</f>
        <v>0</v>
      </c>
      <c r="W227" s="774"/>
      <c r="X227" s="406"/>
    </row>
    <row r="228" spans="1:27" ht="3" customHeight="1" x14ac:dyDescent="0.3">
      <c r="B228" s="125"/>
      <c r="C228" s="113"/>
      <c r="D228" s="116"/>
      <c r="E228" s="115"/>
      <c r="F228" s="739"/>
      <c r="G228" s="739"/>
      <c r="I228" s="739"/>
      <c r="J228" s="739"/>
      <c r="L228" s="739"/>
      <c r="M228" s="739"/>
      <c r="O228" s="739"/>
      <c r="P228" s="739"/>
      <c r="R228" s="739"/>
      <c r="S228" s="739"/>
      <c r="U228" s="405"/>
      <c r="V228" s="774"/>
      <c r="W228" s="774"/>
      <c r="X228" s="406"/>
    </row>
    <row r="229" spans="1:27" x14ac:dyDescent="0.3">
      <c r="B229" s="279" t="s">
        <v>831</v>
      </c>
      <c r="C229" s="109" t="s">
        <v>832</v>
      </c>
      <c r="D229" s="116"/>
      <c r="E229" s="115"/>
      <c r="F229" s="739">
        <f>'YEAR 1'!P229</f>
        <v>0</v>
      </c>
      <c r="G229" s="739"/>
      <c r="I229" s="739">
        <f>'YEAR 2'!P229</f>
        <v>0</v>
      </c>
      <c r="J229" s="739"/>
      <c r="L229" s="739">
        <f>'YEAR 3'!P229</f>
        <v>0</v>
      </c>
      <c r="M229" s="739"/>
      <c r="O229" s="739">
        <f>'YEAR 4'!P229</f>
        <v>0</v>
      </c>
      <c r="P229" s="739"/>
      <c r="R229" s="739">
        <f>'YEAR 5'!P229</f>
        <v>0</v>
      </c>
      <c r="S229" s="739"/>
      <c r="U229" s="405"/>
      <c r="V229" s="774">
        <f>ROUND(SUM(F229:S229),0)</f>
        <v>0</v>
      </c>
      <c r="W229" s="774"/>
      <c r="X229" s="406"/>
    </row>
    <row r="230" spans="1:27" ht="3" customHeight="1" x14ac:dyDescent="0.3">
      <c r="B230" s="125"/>
      <c r="D230" s="132"/>
      <c r="E230" s="132"/>
      <c r="F230" s="763"/>
      <c r="G230" s="763"/>
      <c r="H230" s="296"/>
      <c r="I230" s="296"/>
      <c r="J230" s="296"/>
      <c r="K230" s="296"/>
      <c r="L230" s="296"/>
      <c r="M230" s="296"/>
      <c r="N230" s="296"/>
      <c r="O230" s="296"/>
      <c r="P230" s="296"/>
      <c r="Q230" s="296"/>
      <c r="R230" s="296"/>
      <c r="S230" s="296"/>
      <c r="T230" s="296"/>
      <c r="U230" s="409"/>
      <c r="V230" s="781"/>
      <c r="W230" s="781"/>
      <c r="X230" s="406"/>
    </row>
    <row r="231" spans="1:27" x14ac:dyDescent="0.3">
      <c r="B231" s="125"/>
      <c r="C231" s="109" t="str">
        <f>"Subtotal "&amp;C222</f>
        <v>Subtotal Other</v>
      </c>
      <c r="D231" s="115"/>
      <c r="E231" s="115"/>
      <c r="F231" s="774">
        <f>ROUND(SUM(F223:G230),0)</f>
        <v>0</v>
      </c>
      <c r="G231" s="774"/>
      <c r="I231" s="774">
        <f>ROUND(SUM(I223:J230),0)</f>
        <v>0</v>
      </c>
      <c r="J231" s="774"/>
      <c r="L231" s="774">
        <f>ROUND(SUM(L223:M230),0)</f>
        <v>0</v>
      </c>
      <c r="M231" s="774"/>
      <c r="O231" s="774">
        <f>ROUND(SUM(O223:P230),0)</f>
        <v>0</v>
      </c>
      <c r="P231" s="774"/>
      <c r="R231" s="774">
        <f>ROUND(SUM(R223:S230),0)</f>
        <v>0</v>
      </c>
      <c r="S231" s="774"/>
      <c r="U231" s="405"/>
      <c r="V231" s="774">
        <f>ROUND(SUM(F231:S231),0)</f>
        <v>0</v>
      </c>
      <c r="W231" s="774"/>
      <c r="X231" s="406"/>
      <c r="Z231" s="398">
        <f>ROUND(SUM(V223:W230),0)</f>
        <v>0</v>
      </c>
    </row>
    <row r="232" spans="1:27" ht="3" customHeight="1" x14ac:dyDescent="0.3">
      <c r="B232" s="135"/>
      <c r="C232" s="136"/>
      <c r="D232" s="132"/>
      <c r="E232" s="132"/>
      <c r="F232" s="300"/>
      <c r="G232" s="300"/>
      <c r="H232" s="296"/>
      <c r="I232" s="296"/>
      <c r="J232" s="296"/>
      <c r="K232" s="296"/>
      <c r="L232" s="296"/>
      <c r="M232" s="296"/>
      <c r="N232" s="296"/>
      <c r="O232" s="296"/>
      <c r="P232" s="296"/>
      <c r="Q232" s="296"/>
      <c r="R232" s="296"/>
      <c r="S232" s="296"/>
      <c r="T232" s="296"/>
      <c r="U232" s="409"/>
      <c r="V232" s="300"/>
      <c r="W232" s="300"/>
      <c r="X232" s="406"/>
    </row>
    <row r="233" spans="1:27" x14ac:dyDescent="0.3">
      <c r="B233" s="548" t="str">
        <f>"TOTAL "&amp;B153</f>
        <v>TOTAL OTHER DIRECT COSTS</v>
      </c>
      <c r="C233" s="546"/>
      <c r="D233" s="559"/>
      <c r="E233" s="559"/>
      <c r="F233" s="790">
        <f>ROUND(F166+F175+F184+F193+F202+F211+F220+F231,0)</f>
        <v>0</v>
      </c>
      <c r="G233" s="790"/>
      <c r="H233" s="560"/>
      <c r="I233" s="790">
        <f>ROUND(I166+I175+I184+I193+I202+I211+I220+I231,0)</f>
        <v>0</v>
      </c>
      <c r="J233" s="790"/>
      <c r="K233" s="560"/>
      <c r="L233" s="790">
        <f>ROUND(L166+L175+L184+L193+L202+L211+L220+L231,0)</f>
        <v>0</v>
      </c>
      <c r="M233" s="790"/>
      <c r="N233" s="560"/>
      <c r="O233" s="790">
        <f>ROUND(O166+O175+O184+O193+O202+O211+O220+O231,0)</f>
        <v>0</v>
      </c>
      <c r="P233" s="790"/>
      <c r="Q233" s="560"/>
      <c r="R233" s="790">
        <f>ROUND(R166+R175+R184+R193+R202+R211+R220+R231,0)</f>
        <v>0</v>
      </c>
      <c r="S233" s="790"/>
      <c r="T233" s="560"/>
      <c r="U233" s="561"/>
      <c r="V233" s="790">
        <f>ROUND(SUM(F233:S233),0)</f>
        <v>0</v>
      </c>
      <c r="W233" s="790"/>
      <c r="X233" s="551"/>
      <c r="AA233" s="396">
        <f>ROUND(SUM(Z155:Z233),0)</f>
        <v>0</v>
      </c>
    </row>
    <row r="234" spans="1:27" ht="3" customHeight="1" x14ac:dyDescent="0.3">
      <c r="B234" s="125"/>
      <c r="C234" s="109"/>
      <c r="D234" s="115"/>
      <c r="E234" s="115"/>
      <c r="F234" s="278"/>
      <c r="G234" s="278"/>
      <c r="U234" s="405"/>
      <c r="X234" s="406"/>
    </row>
    <row r="235" spans="1:27" x14ac:dyDescent="0.3">
      <c r="A235" s="109" t="s">
        <v>676</v>
      </c>
      <c r="B235" s="548" t="s">
        <v>833</v>
      </c>
      <c r="C235" s="546"/>
      <c r="D235" s="559"/>
      <c r="E235" s="559"/>
      <c r="F235" s="790">
        <f>ROUND(F43+F67+F76+F103+F151+F233,0)</f>
        <v>0</v>
      </c>
      <c r="G235" s="790"/>
      <c r="H235" s="560"/>
      <c r="I235" s="790">
        <f>ROUND(I43+I67+I76+I103+I151+I233,0)</f>
        <v>0</v>
      </c>
      <c r="J235" s="790"/>
      <c r="K235" s="560"/>
      <c r="L235" s="790">
        <f>ROUND(L43+L67+L76+L103+L151+L233,0)</f>
        <v>0</v>
      </c>
      <c r="M235" s="790"/>
      <c r="N235" s="560"/>
      <c r="O235" s="790">
        <f>ROUND(O43+O67+O76+O103+O151+O233,0)</f>
        <v>0</v>
      </c>
      <c r="P235" s="790"/>
      <c r="Q235" s="560"/>
      <c r="R235" s="790">
        <f>ROUND(R43+R67+R76+R103+R151+R233,0)</f>
        <v>0</v>
      </c>
      <c r="S235" s="790"/>
      <c r="T235" s="560"/>
      <c r="U235" s="561"/>
      <c r="V235" s="790">
        <f>ROUND(SUM(F235:S235),0)</f>
        <v>0</v>
      </c>
      <c r="W235" s="790"/>
      <c r="X235" s="551"/>
      <c r="AA235" s="396">
        <f>ROUND(SUM(AA42:AA234),0)</f>
        <v>0</v>
      </c>
    </row>
    <row r="236" spans="1:27" ht="3" customHeight="1" x14ac:dyDescent="0.3">
      <c r="B236" s="125"/>
      <c r="C236" s="109"/>
      <c r="D236" s="115"/>
      <c r="E236" s="115"/>
      <c r="F236" s="278"/>
      <c r="G236" s="278"/>
      <c r="U236" s="405"/>
      <c r="X236" s="406"/>
    </row>
    <row r="237" spans="1:27" x14ac:dyDescent="0.3">
      <c r="A237" s="109" t="s">
        <v>678</v>
      </c>
      <c r="B237" s="109" t="s">
        <v>779</v>
      </c>
      <c r="U237" s="405"/>
      <c r="X237" s="406"/>
    </row>
    <row r="238" spans="1:27" ht="3" customHeight="1" x14ac:dyDescent="0.3">
      <c r="U238" s="405"/>
      <c r="X238" s="406"/>
    </row>
    <row r="239" spans="1:27" x14ac:dyDescent="0.3">
      <c r="B239" s="106" t="s">
        <v>834</v>
      </c>
      <c r="C239" s="138"/>
      <c r="U239" s="405"/>
      <c r="X239" s="406"/>
    </row>
    <row r="240" spans="1:27" x14ac:dyDescent="0.3">
      <c r="B240" s="138"/>
      <c r="C240" s="138" t="s">
        <v>685</v>
      </c>
      <c r="F240" s="731">
        <f>'YEAR 1'!P240</f>
        <v>0</v>
      </c>
      <c r="G240" s="724"/>
      <c r="I240" s="731">
        <f>'YEAR 2'!P240</f>
        <v>0</v>
      </c>
      <c r="J240" s="724"/>
      <c r="L240" s="731">
        <f>'YEAR 3'!P240</f>
        <v>0</v>
      </c>
      <c r="M240" s="724"/>
      <c r="O240" s="731">
        <f>'YEAR 4'!P240</f>
        <v>0</v>
      </c>
      <c r="P240" s="724"/>
      <c r="R240" s="731">
        <f>'YEAR 5'!P240</f>
        <v>0</v>
      </c>
      <c r="S240" s="724"/>
      <c r="U240" s="405"/>
      <c r="V240" s="728">
        <f>ROUND(SUM(F240:S240),0)</f>
        <v>0</v>
      </c>
      <c r="W240" s="737"/>
      <c r="X240" s="406"/>
    </row>
    <row r="241" spans="1:27" ht="14.4" x14ac:dyDescent="0.3">
      <c r="B241" s="138"/>
      <c r="C241" s="138" t="s">
        <v>686</v>
      </c>
      <c r="D241" s="139"/>
      <c r="E241" s="139"/>
      <c r="F241" s="731">
        <f>'YEAR 1'!P241</f>
        <v>0</v>
      </c>
      <c r="G241" s="724"/>
      <c r="H241" s="299"/>
      <c r="I241" s="731">
        <f>'YEAR 2'!P241</f>
        <v>0</v>
      </c>
      <c r="J241" s="724"/>
      <c r="K241" s="299"/>
      <c r="L241" s="731">
        <f>'YEAR 3'!P241</f>
        <v>0</v>
      </c>
      <c r="M241" s="724"/>
      <c r="N241" s="299"/>
      <c r="O241" s="731">
        <f>'YEAR 4'!P241</f>
        <v>0</v>
      </c>
      <c r="P241" s="724"/>
      <c r="Q241" s="299"/>
      <c r="R241" s="731">
        <f>'YEAR 5'!P241</f>
        <v>0</v>
      </c>
      <c r="S241" s="724"/>
      <c r="T241" s="299"/>
      <c r="U241" s="411"/>
      <c r="V241" s="728">
        <f>ROUND(SUM(F241:S241),0)</f>
        <v>0</v>
      </c>
      <c r="W241" s="737"/>
      <c r="X241" s="406"/>
    </row>
    <row r="242" spans="1:27" ht="3" customHeight="1" x14ac:dyDescent="0.3">
      <c r="B242" s="138"/>
      <c r="C242" s="138"/>
      <c r="D242" s="139"/>
      <c r="E242" s="139"/>
      <c r="F242" s="141"/>
      <c r="G242" s="141"/>
      <c r="I242" s="141"/>
      <c r="J242" s="141"/>
      <c r="L242" s="141"/>
      <c r="M242" s="141"/>
      <c r="O242" s="141"/>
      <c r="P242" s="141"/>
      <c r="R242" s="141"/>
      <c r="S242" s="141"/>
      <c r="U242" s="405"/>
      <c r="V242" s="313"/>
      <c r="W242" s="313"/>
      <c r="X242" s="406"/>
    </row>
    <row r="243" spans="1:27" ht="14.4" x14ac:dyDescent="0.3">
      <c r="B243" s="138" t="s">
        <v>687</v>
      </c>
      <c r="C243" s="138"/>
      <c r="D243" s="139"/>
      <c r="E243" s="139"/>
      <c r="F243" s="730">
        <f>'YEAR 1'!P243</f>
        <v>0</v>
      </c>
      <c r="G243" s="764"/>
      <c r="H243" s="299"/>
      <c r="I243" s="730">
        <f>'YEAR 2'!P243</f>
        <v>0</v>
      </c>
      <c r="J243" s="764"/>
      <c r="K243" s="299"/>
      <c r="L243" s="730">
        <f>'YEAR 3'!P243</f>
        <v>0</v>
      </c>
      <c r="M243" s="764"/>
      <c r="N243" s="299"/>
      <c r="O243" s="730">
        <f>'YEAR 4'!P243</f>
        <v>0</v>
      </c>
      <c r="P243" s="764"/>
      <c r="Q243" s="299"/>
      <c r="R243" s="730">
        <f>'YEAR 5'!P243</f>
        <v>0</v>
      </c>
      <c r="S243" s="764"/>
      <c r="T243" s="299"/>
      <c r="U243" s="411"/>
      <c r="V243" s="729">
        <f>ROUND(SUM(F243:S243),0)</f>
        <v>0</v>
      </c>
      <c r="W243" s="762"/>
      <c r="X243" s="406"/>
    </row>
    <row r="244" spans="1:27" ht="3" customHeight="1" x14ac:dyDescent="0.3">
      <c r="B244" s="138"/>
      <c r="C244" s="138"/>
      <c r="D244" s="139"/>
      <c r="E244" s="139"/>
      <c r="U244" s="405"/>
      <c r="X244" s="406"/>
    </row>
    <row r="245" spans="1:27" ht="14.4" x14ac:dyDescent="0.3">
      <c r="B245" s="142"/>
      <c r="C245" s="138" t="str">
        <f>CONCATENATE("SDSM&amp;T  Indirect  @ ",TEXT(INDIRECT,"0.0%"))</f>
        <v>SDSM&amp;T  Indirect  @ 42.0%</v>
      </c>
      <c r="D245" s="139"/>
      <c r="E245" s="139"/>
      <c r="F245" s="739">
        <f>'YEAR 1'!P245</f>
        <v>0</v>
      </c>
      <c r="G245" s="739"/>
      <c r="H245" s="299"/>
      <c r="I245" s="739">
        <f>'YEAR 2'!P245</f>
        <v>0</v>
      </c>
      <c r="J245" s="739"/>
      <c r="K245" s="299"/>
      <c r="L245" s="739">
        <f>'YEAR 3'!P245</f>
        <v>0</v>
      </c>
      <c r="M245" s="739"/>
      <c r="N245" s="299"/>
      <c r="O245" s="739">
        <f>'YEAR 4'!P245</f>
        <v>0</v>
      </c>
      <c r="P245" s="739"/>
      <c r="Q245" s="299"/>
      <c r="R245" s="739">
        <f>'YEAR 5'!P245</f>
        <v>0</v>
      </c>
      <c r="S245" s="739"/>
      <c r="T245" s="299"/>
      <c r="U245" s="411"/>
      <c r="V245" s="774">
        <f>ROUND(SUM(F245:S245),0)</f>
        <v>0</v>
      </c>
      <c r="W245" s="774"/>
      <c r="X245" s="406"/>
    </row>
    <row r="246" spans="1:27" ht="3" customHeight="1" x14ac:dyDescent="0.3">
      <c r="B246" s="138"/>
      <c r="C246" s="138"/>
      <c r="D246" s="139"/>
      <c r="E246" s="139"/>
      <c r="U246" s="405"/>
      <c r="X246" s="406"/>
    </row>
    <row r="247" spans="1:27" x14ac:dyDescent="0.3">
      <c r="B247" s="142"/>
      <c r="D247" s="138" t="str">
        <f>"SDSM&amp;T Unrecovered Indirect @ "&amp;TEXT(-COSTSHARERATE,"0.0%")</f>
        <v>SDSM&amp;T Unrecovered Indirect @ 0.0%</v>
      </c>
      <c r="E247" s="138"/>
      <c r="F247" s="739">
        <f>'YEAR 1'!P247</f>
        <v>0</v>
      </c>
      <c r="G247" s="739"/>
      <c r="H247" s="301"/>
      <c r="I247" s="739">
        <f>'YEAR 2'!P247</f>
        <v>0</v>
      </c>
      <c r="J247" s="739"/>
      <c r="K247" s="301"/>
      <c r="L247" s="739">
        <f>'YEAR 3'!P247</f>
        <v>0</v>
      </c>
      <c r="M247" s="739"/>
      <c r="N247" s="301"/>
      <c r="O247" s="739">
        <f>'YEAR 4'!P247</f>
        <v>0</v>
      </c>
      <c r="P247" s="739"/>
      <c r="Q247" s="301"/>
      <c r="R247" s="739">
        <f>'YEAR 5'!P247</f>
        <v>0</v>
      </c>
      <c r="S247" s="739"/>
      <c r="T247" s="301"/>
      <c r="U247" s="412"/>
      <c r="V247" s="774">
        <f>ROUND(SUM(F247:S247),0)</f>
        <v>0</v>
      </c>
      <c r="W247" s="774"/>
      <c r="X247" s="406"/>
    </row>
    <row r="248" spans="1:27" ht="3" customHeight="1" x14ac:dyDescent="0.3">
      <c r="B248" s="138"/>
      <c r="C248" s="138"/>
      <c r="D248" s="139"/>
      <c r="E248" s="139"/>
      <c r="U248" s="405"/>
      <c r="X248" s="406"/>
    </row>
    <row r="249" spans="1:27" ht="14.4" x14ac:dyDescent="0.3">
      <c r="B249" s="142"/>
      <c r="C249" s="138" t="str">
        <f>"SDSM&amp;T Indirect Recovered @ "&amp;TEXT(RECOVERED,"0.0%")</f>
        <v>SDSM&amp;T Indirect Recovered @ 42.0%</v>
      </c>
      <c r="D249" s="139"/>
      <c r="E249" s="139"/>
      <c r="F249" s="739">
        <f>'YEAR 1'!P249</f>
        <v>0</v>
      </c>
      <c r="G249" s="739"/>
      <c r="H249" s="299"/>
      <c r="I249" s="739">
        <f>'YEAR 2'!P249</f>
        <v>0</v>
      </c>
      <c r="J249" s="739"/>
      <c r="K249" s="299"/>
      <c r="L249" s="739">
        <f>'YEAR 3'!P249</f>
        <v>0</v>
      </c>
      <c r="M249" s="739"/>
      <c r="N249" s="299"/>
      <c r="O249" s="739">
        <f>'YEAR 4'!P249</f>
        <v>0</v>
      </c>
      <c r="P249" s="739"/>
      <c r="Q249" s="299"/>
      <c r="R249" s="739">
        <f>'YEAR 5'!P249</f>
        <v>0</v>
      </c>
      <c r="S249" s="739"/>
      <c r="T249" s="299"/>
      <c r="U249" s="411"/>
      <c r="V249" s="774">
        <f>ROUND(SUM(F249:S249),0)</f>
        <v>0</v>
      </c>
      <c r="W249" s="774"/>
      <c r="X249" s="406"/>
    </row>
    <row r="250" spans="1:27" ht="3" customHeight="1" x14ac:dyDescent="0.3">
      <c r="B250" s="134"/>
      <c r="C250" s="134"/>
      <c r="D250" s="144"/>
      <c r="E250" s="144"/>
      <c r="F250" s="296"/>
      <c r="G250" s="296"/>
      <c r="H250" s="296"/>
      <c r="I250" s="296"/>
      <c r="J250" s="296"/>
      <c r="K250" s="296"/>
      <c r="L250" s="296"/>
      <c r="M250" s="296"/>
      <c r="N250" s="296"/>
      <c r="O250" s="296"/>
      <c r="P250" s="296"/>
      <c r="Q250" s="296"/>
      <c r="R250" s="296"/>
      <c r="S250" s="296"/>
      <c r="T250" s="296"/>
      <c r="U250" s="409"/>
      <c r="V250" s="300"/>
      <c r="W250" s="300"/>
      <c r="X250" s="406"/>
    </row>
    <row r="251" spans="1:27" ht="14.4" x14ac:dyDescent="0.3">
      <c r="B251" s="546" t="str">
        <f>CONCATENATE("TOTAL ALL ",B237)</f>
        <v>TOTAL ALL INDIRECT COSTS</v>
      </c>
      <c r="C251" s="547"/>
      <c r="D251" s="562"/>
      <c r="E251" s="562"/>
      <c r="F251" s="790">
        <f>F249</f>
        <v>0</v>
      </c>
      <c r="G251" s="790"/>
      <c r="H251" s="563"/>
      <c r="I251" s="790">
        <f>I249</f>
        <v>0</v>
      </c>
      <c r="J251" s="790"/>
      <c r="K251" s="563"/>
      <c r="L251" s="790">
        <f>L249</f>
        <v>0</v>
      </c>
      <c r="M251" s="790"/>
      <c r="N251" s="563"/>
      <c r="O251" s="790">
        <f>O249</f>
        <v>0</v>
      </c>
      <c r="P251" s="790"/>
      <c r="Q251" s="563"/>
      <c r="R251" s="790">
        <f>R249</f>
        <v>0</v>
      </c>
      <c r="S251" s="790"/>
      <c r="T251" s="563"/>
      <c r="U251" s="564"/>
      <c r="V251" s="790">
        <f>ROUND(SUM(F251:S251),0)</f>
        <v>0</v>
      </c>
      <c r="W251" s="790"/>
      <c r="X251" s="551"/>
      <c r="AA251" s="396">
        <f>ROUND(V245+V247,0)</f>
        <v>0</v>
      </c>
    </row>
    <row r="252" spans="1:27" ht="3" customHeight="1" x14ac:dyDescent="0.3">
      <c r="D252" s="139"/>
      <c r="E252" s="139"/>
      <c r="U252" s="405"/>
      <c r="X252" s="406"/>
    </row>
    <row r="253" spans="1:27" ht="14.4" x14ac:dyDescent="0.3">
      <c r="A253" s="109" t="s">
        <v>680</v>
      </c>
      <c r="B253" s="565" t="s">
        <v>835</v>
      </c>
      <c r="C253" s="547"/>
      <c r="D253" s="562"/>
      <c r="E253" s="562"/>
      <c r="F253" s="790">
        <f>ROUND(F235+F251,0)</f>
        <v>0</v>
      </c>
      <c r="G253" s="790"/>
      <c r="H253" s="563"/>
      <c r="I253" s="790">
        <f>ROUND(I235+I251,0)</f>
        <v>0</v>
      </c>
      <c r="J253" s="790"/>
      <c r="K253" s="563"/>
      <c r="L253" s="790">
        <f>ROUND(L235+L251,0)</f>
        <v>0</v>
      </c>
      <c r="M253" s="790"/>
      <c r="N253" s="563"/>
      <c r="O253" s="790">
        <f>ROUND(O235+O251,0)</f>
        <v>0</v>
      </c>
      <c r="P253" s="790"/>
      <c r="Q253" s="563"/>
      <c r="R253" s="790">
        <f>ROUND(R235+R251,0)</f>
        <v>0</v>
      </c>
      <c r="S253" s="790"/>
      <c r="T253" s="563"/>
      <c r="U253" s="564"/>
      <c r="V253" s="790">
        <f>ROUND(SUM(F253:S253),0)</f>
        <v>0</v>
      </c>
      <c r="W253" s="790"/>
      <c r="X253" s="551"/>
      <c r="AA253" s="396">
        <f>ROUND(SUM(AA235:AA252),0)</f>
        <v>0</v>
      </c>
    </row>
    <row r="254" spans="1:27" ht="3" customHeight="1" x14ac:dyDescent="0.3">
      <c r="D254" s="139"/>
      <c r="E254" s="139"/>
      <c r="H254" s="299"/>
      <c r="K254" s="299"/>
      <c r="N254" s="299"/>
      <c r="Q254" s="299"/>
      <c r="T254" s="299"/>
      <c r="U254" s="411"/>
      <c r="X254" s="406"/>
    </row>
    <row r="255" spans="1:27" x14ac:dyDescent="0.3">
      <c r="B255" s="125" t="s">
        <v>690</v>
      </c>
      <c r="C255" s="106" t="s">
        <v>691</v>
      </c>
      <c r="U255" s="405"/>
      <c r="X255" s="406"/>
    </row>
    <row r="256" spans="1:27" ht="3" customHeight="1" x14ac:dyDescent="0.3">
      <c r="U256" s="405"/>
      <c r="X256" s="406"/>
    </row>
    <row r="257" spans="1:43" x14ac:dyDescent="0.3">
      <c r="A257" s="109" t="s">
        <v>682</v>
      </c>
      <c r="B257" s="546" t="s">
        <v>838</v>
      </c>
      <c r="C257" s="546"/>
      <c r="D257" s="546"/>
      <c r="E257" s="546"/>
      <c r="F257" s="789">
        <f>'YEAR 1'!P257</f>
        <v>0</v>
      </c>
      <c r="G257" s="789"/>
      <c r="H257" s="560"/>
      <c r="I257" s="789">
        <f>'YEAR 2'!P257</f>
        <v>0</v>
      </c>
      <c r="J257" s="789"/>
      <c r="K257" s="560"/>
      <c r="L257" s="789">
        <f>'YEAR 3'!P257</f>
        <v>0</v>
      </c>
      <c r="M257" s="789"/>
      <c r="N257" s="560"/>
      <c r="O257" s="789">
        <f>'YEAR 4'!P257</f>
        <v>0</v>
      </c>
      <c r="P257" s="789"/>
      <c r="Q257" s="560"/>
      <c r="R257" s="789">
        <f>'YEAR 5'!P257</f>
        <v>0</v>
      </c>
      <c r="S257" s="789"/>
      <c r="T257" s="560"/>
      <c r="U257" s="561"/>
      <c r="V257" s="790">
        <f>ROUND(SUM(F257:S257),0)</f>
        <v>0</v>
      </c>
      <c r="W257" s="790"/>
      <c r="X257" s="566"/>
      <c r="Z257" s="432"/>
      <c r="AA257" s="433"/>
      <c r="AB257" s="787"/>
      <c r="AC257" s="787"/>
      <c r="AD257" s="787"/>
      <c r="AE257" s="611"/>
      <c r="AF257" s="611"/>
      <c r="AG257" s="158"/>
      <c r="AH257" s="158"/>
      <c r="AI257" s="158"/>
      <c r="AJ257" s="158"/>
      <c r="AK257" s="158"/>
      <c r="AL257" s="158"/>
      <c r="AM257" s="158"/>
      <c r="AN257" s="158"/>
      <c r="AO257" s="787">
        <f>ROUND(AP253*Data!$E$36,0)</f>
        <v>0</v>
      </c>
      <c r="AP257" s="787"/>
      <c r="AQ257" s="787"/>
    </row>
    <row r="258" spans="1:43" ht="3" customHeight="1" x14ac:dyDescent="0.3">
      <c r="U258" s="405"/>
      <c r="X258" s="406"/>
    </row>
    <row r="259" spans="1:43" x14ac:dyDescent="0.3">
      <c r="A259" s="109" t="s">
        <v>688</v>
      </c>
      <c r="B259" s="546" t="s">
        <v>837</v>
      </c>
      <c r="C259" s="546"/>
      <c r="D259" s="546"/>
      <c r="E259" s="546"/>
      <c r="F259" s="789">
        <f>'YEAR 1'!$Q259</f>
        <v>0</v>
      </c>
      <c r="G259" s="789"/>
      <c r="H259" s="560"/>
      <c r="I259" s="791">
        <f>'YEAR 2'!$Q259</f>
        <v>0</v>
      </c>
      <c r="J259" s="791"/>
      <c r="K259" s="560"/>
      <c r="L259" s="791">
        <f>'YEAR 3'!$Q259</f>
        <v>0</v>
      </c>
      <c r="M259" s="791"/>
      <c r="N259" s="560"/>
      <c r="O259" s="791">
        <f>'YEAR 4'!$Q259</f>
        <v>0</v>
      </c>
      <c r="P259" s="791"/>
      <c r="Q259" s="560"/>
      <c r="R259" s="791">
        <f>'YEAR 5'!$Q259</f>
        <v>0</v>
      </c>
      <c r="S259" s="791"/>
      <c r="T259" s="560"/>
      <c r="U259" s="561"/>
      <c r="V259" s="790">
        <f>ROUND(SUM(F259:S259),0)</f>
        <v>0</v>
      </c>
      <c r="W259" s="790"/>
      <c r="X259" s="551"/>
      <c r="Z259" s="432"/>
      <c r="AA259" s="433"/>
      <c r="AB259" s="158"/>
      <c r="AC259" s="158"/>
      <c r="AD259" s="288"/>
      <c r="AE259" s="158"/>
      <c r="AF259" s="158"/>
      <c r="AG259" s="158"/>
      <c r="AH259" s="158"/>
      <c r="AI259" s="158"/>
      <c r="AJ259" s="158"/>
      <c r="AK259" s="158"/>
      <c r="AL259" s="158"/>
      <c r="AM259" s="158"/>
      <c r="AN259" s="158"/>
      <c r="AO259" s="158"/>
      <c r="AP259" s="158"/>
      <c r="AQ259" s="288">
        <f>AO257+AP253</f>
        <v>0</v>
      </c>
    </row>
    <row r="260" spans="1:43" ht="3" customHeight="1" x14ac:dyDescent="0.3">
      <c r="U260" s="405"/>
      <c r="X260" s="406"/>
    </row>
    <row r="261" spans="1:43" s="535" customFormat="1" x14ac:dyDescent="0.3">
      <c r="A261" s="106"/>
      <c r="B261" s="532" t="s">
        <v>787</v>
      </c>
      <c r="C261" s="532"/>
      <c r="D261" s="532"/>
      <c r="E261" s="532"/>
      <c r="F261" s="792">
        <f>'YEAR 1'!AD259</f>
        <v>0</v>
      </c>
      <c r="G261" s="792"/>
      <c r="H261" s="613"/>
      <c r="I261" s="793">
        <f>'YEAR 2'!AD259</f>
        <v>0</v>
      </c>
      <c r="J261" s="793"/>
      <c r="K261" s="613"/>
      <c r="L261" s="793">
        <f>'YEAR 3'!AD259</f>
        <v>0</v>
      </c>
      <c r="M261" s="793"/>
      <c r="N261" s="613"/>
      <c r="O261" s="793">
        <f>'YEAR 4'!AD259</f>
        <v>0</v>
      </c>
      <c r="P261" s="793"/>
      <c r="Q261" s="613"/>
      <c r="R261" s="793">
        <f>'YEAR 5'!AD259</f>
        <v>0</v>
      </c>
      <c r="S261" s="793"/>
      <c r="T261" s="613"/>
      <c r="U261" s="533"/>
      <c r="V261" s="794">
        <f>ROUND(SUM(F261:S261),0)</f>
        <v>0</v>
      </c>
      <c r="W261" s="794"/>
      <c r="X261" s="534"/>
      <c r="Z261" s="536"/>
      <c r="AA261" s="537"/>
      <c r="AB261" s="532"/>
      <c r="AC261" s="532"/>
      <c r="AD261" s="538"/>
      <c r="AE261" s="532"/>
      <c r="AF261" s="532"/>
      <c r="AG261" s="532"/>
      <c r="AH261" s="532"/>
      <c r="AI261" s="532"/>
      <c r="AJ261" s="532"/>
      <c r="AK261" s="532"/>
      <c r="AL261" s="532"/>
      <c r="AM261" s="532"/>
      <c r="AN261" s="532"/>
      <c r="AO261" s="532"/>
      <c r="AP261" s="532"/>
      <c r="AQ261" s="538">
        <f>AO259+AP255</f>
        <v>0</v>
      </c>
    </row>
    <row r="262" spans="1:43" ht="5.25" customHeight="1" thickBot="1" x14ac:dyDescent="0.35">
      <c r="U262" s="435"/>
      <c r="V262" s="413"/>
      <c r="W262" s="413"/>
      <c r="X262" s="414"/>
    </row>
    <row r="263" spans="1:43" ht="5.25" customHeight="1" x14ac:dyDescent="0.3"/>
    <row r="264" spans="1:43" x14ac:dyDescent="0.3">
      <c r="F264" s="788">
        <f>'YEAR 1'!P253</f>
        <v>0</v>
      </c>
      <c r="G264" s="788"/>
      <c r="H264" s="612"/>
      <c r="I264" s="788">
        <f>'YEAR 2'!P253</f>
        <v>0</v>
      </c>
      <c r="J264" s="788"/>
      <c r="K264" s="612"/>
      <c r="L264" s="788">
        <f>'YEAR 3'!P253</f>
        <v>0</v>
      </c>
      <c r="M264" s="788"/>
      <c r="N264" s="612"/>
      <c r="O264" s="788">
        <f>'YEAR 4'!P253</f>
        <v>0</v>
      </c>
      <c r="P264" s="788"/>
      <c r="Q264" s="788"/>
      <c r="R264" s="788">
        <f>'YEAR 5'!P253</f>
        <v>0</v>
      </c>
      <c r="S264" s="788"/>
      <c r="T264" s="612"/>
      <c r="U264" s="612"/>
      <c r="V264" s="788">
        <f>ROUND(SUM(F264:S264),0)</f>
        <v>0</v>
      </c>
      <c r="W264" s="788"/>
    </row>
    <row r="265" spans="1:43" x14ac:dyDescent="0.3">
      <c r="Z265" s="398">
        <f>+V261+V259</f>
        <v>0</v>
      </c>
    </row>
    <row r="266" spans="1:43" x14ac:dyDescent="0.3">
      <c r="Z266" s="398" t="e">
        <f>+V261/Z265</f>
        <v>#DIV/0!</v>
      </c>
    </row>
  </sheetData>
  <mergeCells count="916">
    <mergeCell ref="V25:W25"/>
    <mergeCell ref="V28:W28"/>
    <mergeCell ref="V31:W31"/>
    <mergeCell ref="F9:G9"/>
    <mergeCell ref="F8:G8"/>
    <mergeCell ref="R8:S8"/>
    <mergeCell ref="D5:Y5"/>
    <mergeCell ref="F71:G71"/>
    <mergeCell ref="I71:J71"/>
    <mergeCell ref="L71:M71"/>
    <mergeCell ref="O71:P71"/>
    <mergeCell ref="R71:S71"/>
    <mergeCell ref="V71:W71"/>
    <mergeCell ref="B42:E42"/>
    <mergeCell ref="F42:G42"/>
    <mergeCell ref="F34:G34"/>
    <mergeCell ref="F37:G37"/>
    <mergeCell ref="F19:G19"/>
    <mergeCell ref="F22:G22"/>
    <mergeCell ref="F13:G13"/>
    <mergeCell ref="F16:G16"/>
    <mergeCell ref="F11:G11"/>
    <mergeCell ref="F61:G61"/>
    <mergeCell ref="F64:G64"/>
    <mergeCell ref="F55:G55"/>
    <mergeCell ref="F58:G58"/>
    <mergeCell ref="F49:G49"/>
    <mergeCell ref="F52:G52"/>
    <mergeCell ref="F43:G43"/>
    <mergeCell ref="F46:G46"/>
    <mergeCell ref="F40:G40"/>
    <mergeCell ref="F80:G80"/>
    <mergeCell ref="F81:G81"/>
    <mergeCell ref="F76:G76"/>
    <mergeCell ref="F70:G70"/>
    <mergeCell ref="B75:E75"/>
    <mergeCell ref="F75:G75"/>
    <mergeCell ref="B66:E66"/>
    <mergeCell ref="F66:G66"/>
    <mergeCell ref="F67:G67"/>
    <mergeCell ref="F72:G72"/>
    <mergeCell ref="F73:G73"/>
    <mergeCell ref="F74:G74"/>
    <mergeCell ref="F99:G99"/>
    <mergeCell ref="F100:G100"/>
    <mergeCell ref="F97:G97"/>
    <mergeCell ref="F98:G98"/>
    <mergeCell ref="F95:G95"/>
    <mergeCell ref="F96:G96"/>
    <mergeCell ref="F91:G91"/>
    <mergeCell ref="F92:G92"/>
    <mergeCell ref="F82:G82"/>
    <mergeCell ref="F90:G90"/>
    <mergeCell ref="F83:G83"/>
    <mergeCell ref="F84:G84"/>
    <mergeCell ref="F87:G87"/>
    <mergeCell ref="F88:G88"/>
    <mergeCell ref="F89:G89"/>
    <mergeCell ref="F110:G110"/>
    <mergeCell ref="F111:G111"/>
    <mergeCell ref="F108:G108"/>
    <mergeCell ref="F109:G109"/>
    <mergeCell ref="F103:G103"/>
    <mergeCell ref="F107:G107"/>
    <mergeCell ref="F101:G101"/>
    <mergeCell ref="B102:E102"/>
    <mergeCell ref="F102:G102"/>
    <mergeCell ref="F122:G122"/>
    <mergeCell ref="F125:G125"/>
    <mergeCell ref="F120:G120"/>
    <mergeCell ref="F121:G121"/>
    <mergeCell ref="F118:G118"/>
    <mergeCell ref="F119:G119"/>
    <mergeCell ref="F116:G116"/>
    <mergeCell ref="F117:G117"/>
    <mergeCell ref="F112:G112"/>
    <mergeCell ref="F113:G113"/>
    <mergeCell ref="F136:G136"/>
    <mergeCell ref="F137:G137"/>
    <mergeCell ref="F134:G134"/>
    <mergeCell ref="F135:G135"/>
    <mergeCell ref="F130:G130"/>
    <mergeCell ref="F131:G131"/>
    <mergeCell ref="F128:G128"/>
    <mergeCell ref="F129:G129"/>
    <mergeCell ref="F126:G126"/>
    <mergeCell ref="F127:G127"/>
    <mergeCell ref="F148:G148"/>
    <mergeCell ref="F149:G149"/>
    <mergeCell ref="F146:G146"/>
    <mergeCell ref="F147:G147"/>
    <mergeCell ref="F144:G144"/>
    <mergeCell ref="F145:G145"/>
    <mergeCell ref="F140:G140"/>
    <mergeCell ref="F143:G143"/>
    <mergeCell ref="F138:G138"/>
    <mergeCell ref="F139:G139"/>
    <mergeCell ref="F164:G164"/>
    <mergeCell ref="F165:G165"/>
    <mergeCell ref="F157:G157"/>
    <mergeCell ref="F163:G163"/>
    <mergeCell ref="F155:G155"/>
    <mergeCell ref="F156:G156"/>
    <mergeCell ref="B150:E150"/>
    <mergeCell ref="F150:G150"/>
    <mergeCell ref="F151:G151"/>
    <mergeCell ref="F158:G158"/>
    <mergeCell ref="F159:G159"/>
    <mergeCell ref="F160:G160"/>
    <mergeCell ref="F161:G161"/>
    <mergeCell ref="F162:G162"/>
    <mergeCell ref="F178:G178"/>
    <mergeCell ref="F179:G179"/>
    <mergeCell ref="F174:G174"/>
    <mergeCell ref="F175:G175"/>
    <mergeCell ref="F172:G172"/>
    <mergeCell ref="F173:G173"/>
    <mergeCell ref="F170:G170"/>
    <mergeCell ref="F171:G171"/>
    <mergeCell ref="F166:G166"/>
    <mergeCell ref="F169:G169"/>
    <mergeCell ref="F190:G190"/>
    <mergeCell ref="F191:G191"/>
    <mergeCell ref="F188:G188"/>
    <mergeCell ref="F189:G189"/>
    <mergeCell ref="F184:G184"/>
    <mergeCell ref="F187:G187"/>
    <mergeCell ref="F182:G182"/>
    <mergeCell ref="F183:G183"/>
    <mergeCell ref="F180:G180"/>
    <mergeCell ref="F181:G181"/>
    <mergeCell ref="F202:G202"/>
    <mergeCell ref="F205:G205"/>
    <mergeCell ref="F200:G200"/>
    <mergeCell ref="F201:G201"/>
    <mergeCell ref="F198:G198"/>
    <mergeCell ref="F199:G199"/>
    <mergeCell ref="F196:G196"/>
    <mergeCell ref="F197:G197"/>
    <mergeCell ref="F192:G192"/>
    <mergeCell ref="F193:G193"/>
    <mergeCell ref="F216:G216"/>
    <mergeCell ref="F217:G217"/>
    <mergeCell ref="F214:G214"/>
    <mergeCell ref="F215:G215"/>
    <mergeCell ref="F210:G210"/>
    <mergeCell ref="F211:G211"/>
    <mergeCell ref="F208:G208"/>
    <mergeCell ref="F209:G209"/>
    <mergeCell ref="F206:G206"/>
    <mergeCell ref="F207:G207"/>
    <mergeCell ref="F229:G229"/>
    <mergeCell ref="F226:G226"/>
    <mergeCell ref="F227:G227"/>
    <mergeCell ref="F224:G224"/>
    <mergeCell ref="F225:G225"/>
    <mergeCell ref="F220:G220"/>
    <mergeCell ref="F223:G223"/>
    <mergeCell ref="F218:G218"/>
    <mergeCell ref="F219:G219"/>
    <mergeCell ref="I22:J22"/>
    <mergeCell ref="I34:J34"/>
    <mergeCell ref="I37:J37"/>
    <mergeCell ref="I40:J40"/>
    <mergeCell ref="I43:J43"/>
    <mergeCell ref="F253:G253"/>
    <mergeCell ref="I8:J8"/>
    <mergeCell ref="I9:J9"/>
    <mergeCell ref="I11:J11"/>
    <mergeCell ref="I13:J13"/>
    <mergeCell ref="I16:J16"/>
    <mergeCell ref="I19:J19"/>
    <mergeCell ref="F249:G249"/>
    <mergeCell ref="F251:G251"/>
    <mergeCell ref="F243:G243"/>
    <mergeCell ref="F245:G245"/>
    <mergeCell ref="F247:G247"/>
    <mergeCell ref="F235:G235"/>
    <mergeCell ref="F240:G240"/>
    <mergeCell ref="F241:G241"/>
    <mergeCell ref="F231:G231"/>
    <mergeCell ref="F233:G233"/>
    <mergeCell ref="F230:G230"/>
    <mergeCell ref="F228:G228"/>
    <mergeCell ref="I64:J64"/>
    <mergeCell ref="I67:J67"/>
    <mergeCell ref="I70:J70"/>
    <mergeCell ref="I76:J76"/>
    <mergeCell ref="I46:J46"/>
    <mergeCell ref="I49:J49"/>
    <mergeCell ref="I52:J52"/>
    <mergeCell ref="I55:J55"/>
    <mergeCell ref="I58:J58"/>
    <mergeCell ref="I61:J61"/>
    <mergeCell ref="I72:J72"/>
    <mergeCell ref="I73:J73"/>
    <mergeCell ref="I74:J74"/>
    <mergeCell ref="I95:J95"/>
    <mergeCell ref="I96:J96"/>
    <mergeCell ref="I97:J97"/>
    <mergeCell ref="I98:J98"/>
    <mergeCell ref="I99:J99"/>
    <mergeCell ref="I80:J80"/>
    <mergeCell ref="I81:J81"/>
    <mergeCell ref="I82:J82"/>
    <mergeCell ref="I90:J90"/>
    <mergeCell ref="I83:J83"/>
    <mergeCell ref="I84:J84"/>
    <mergeCell ref="I87:J87"/>
    <mergeCell ref="I88:J88"/>
    <mergeCell ref="I89:J89"/>
    <mergeCell ref="I109:J109"/>
    <mergeCell ref="I110:J110"/>
    <mergeCell ref="I111:J111"/>
    <mergeCell ref="I113:J113"/>
    <mergeCell ref="I116:J116"/>
    <mergeCell ref="I101:J101"/>
    <mergeCell ref="I103:J103"/>
    <mergeCell ref="I107:J107"/>
    <mergeCell ref="I108:J108"/>
    <mergeCell ref="I125:J125"/>
    <mergeCell ref="I126:J126"/>
    <mergeCell ref="I127:J127"/>
    <mergeCell ref="I128:J128"/>
    <mergeCell ref="I129:J129"/>
    <mergeCell ref="I117:J117"/>
    <mergeCell ref="I118:J118"/>
    <mergeCell ref="I119:J119"/>
    <mergeCell ref="I120:J120"/>
    <mergeCell ref="I122:J122"/>
    <mergeCell ref="I140:J140"/>
    <mergeCell ref="I143:J143"/>
    <mergeCell ref="I144:J144"/>
    <mergeCell ref="I145:J145"/>
    <mergeCell ref="I146:J146"/>
    <mergeCell ref="I131:J131"/>
    <mergeCell ref="I134:J134"/>
    <mergeCell ref="I135:J135"/>
    <mergeCell ref="I136:J136"/>
    <mergeCell ref="I137:J137"/>
    <mergeCell ref="I138:J138"/>
    <mergeCell ref="I156:J156"/>
    <mergeCell ref="I157:J157"/>
    <mergeCell ref="I163:J163"/>
    <mergeCell ref="I164:J164"/>
    <mergeCell ref="I166:J166"/>
    <mergeCell ref="I147:J147"/>
    <mergeCell ref="I149:J149"/>
    <mergeCell ref="I151:J151"/>
    <mergeCell ref="I155:J155"/>
    <mergeCell ref="I158:J158"/>
    <mergeCell ref="I159:J159"/>
    <mergeCell ref="I160:J160"/>
    <mergeCell ref="I161:J161"/>
    <mergeCell ref="I162:J162"/>
    <mergeCell ref="I175:J175"/>
    <mergeCell ref="I178:J178"/>
    <mergeCell ref="I179:J179"/>
    <mergeCell ref="I180:J180"/>
    <mergeCell ref="I181:J181"/>
    <mergeCell ref="I182:J182"/>
    <mergeCell ref="I169:J169"/>
    <mergeCell ref="I170:J170"/>
    <mergeCell ref="I171:J171"/>
    <mergeCell ref="I172:J172"/>
    <mergeCell ref="I173:J173"/>
    <mergeCell ref="I191:J191"/>
    <mergeCell ref="I193:J193"/>
    <mergeCell ref="I196:J196"/>
    <mergeCell ref="I197:J197"/>
    <mergeCell ref="I198:J198"/>
    <mergeCell ref="I184:J184"/>
    <mergeCell ref="I187:J187"/>
    <mergeCell ref="I188:J188"/>
    <mergeCell ref="I189:J189"/>
    <mergeCell ref="I190:J190"/>
    <mergeCell ref="I207:J207"/>
    <mergeCell ref="I208:J208"/>
    <mergeCell ref="I209:J209"/>
    <mergeCell ref="I211:J211"/>
    <mergeCell ref="I214:J214"/>
    <mergeCell ref="I199:J199"/>
    <mergeCell ref="I200:J200"/>
    <mergeCell ref="I202:J202"/>
    <mergeCell ref="I205:J205"/>
    <mergeCell ref="I206:J206"/>
    <mergeCell ref="I224:J224"/>
    <mergeCell ref="I225:J225"/>
    <mergeCell ref="I226:J226"/>
    <mergeCell ref="I227:J227"/>
    <mergeCell ref="I228:J228"/>
    <mergeCell ref="I215:J215"/>
    <mergeCell ref="I216:J216"/>
    <mergeCell ref="I217:J217"/>
    <mergeCell ref="I218:J218"/>
    <mergeCell ref="I220:J220"/>
    <mergeCell ref="L34:M34"/>
    <mergeCell ref="L37:M37"/>
    <mergeCell ref="L40:M40"/>
    <mergeCell ref="L43:M43"/>
    <mergeCell ref="L46:M46"/>
    <mergeCell ref="I251:J251"/>
    <mergeCell ref="I253:J253"/>
    <mergeCell ref="L8:M8"/>
    <mergeCell ref="L9:M9"/>
    <mergeCell ref="L11:M11"/>
    <mergeCell ref="L13:M13"/>
    <mergeCell ref="L16:M16"/>
    <mergeCell ref="L19:M19"/>
    <mergeCell ref="L22:M22"/>
    <mergeCell ref="I240:J240"/>
    <mergeCell ref="I241:J241"/>
    <mergeCell ref="I243:J243"/>
    <mergeCell ref="I245:J245"/>
    <mergeCell ref="I247:J247"/>
    <mergeCell ref="I249:J249"/>
    <mergeCell ref="I229:J229"/>
    <mergeCell ref="I231:J231"/>
    <mergeCell ref="I233:J233"/>
    <mergeCell ref="I235:J235"/>
    <mergeCell ref="L67:M67"/>
    <mergeCell ref="L70:M70"/>
    <mergeCell ref="L76:M76"/>
    <mergeCell ref="L49:M49"/>
    <mergeCell ref="L52:M52"/>
    <mergeCell ref="L55:M55"/>
    <mergeCell ref="L58:M58"/>
    <mergeCell ref="L61:M61"/>
    <mergeCell ref="L64:M64"/>
    <mergeCell ref="L72:M72"/>
    <mergeCell ref="L73:M73"/>
    <mergeCell ref="L74:M74"/>
    <mergeCell ref="L95:M95"/>
    <mergeCell ref="L96:M96"/>
    <mergeCell ref="L97:M97"/>
    <mergeCell ref="L98:M98"/>
    <mergeCell ref="L99:M99"/>
    <mergeCell ref="L80:M80"/>
    <mergeCell ref="L81:M81"/>
    <mergeCell ref="L82:M82"/>
    <mergeCell ref="L90:M90"/>
    <mergeCell ref="L83:M83"/>
    <mergeCell ref="L84:M84"/>
    <mergeCell ref="L87:M87"/>
    <mergeCell ref="L88:M88"/>
    <mergeCell ref="L89:M89"/>
    <mergeCell ref="L110:M110"/>
    <mergeCell ref="L111:M111"/>
    <mergeCell ref="L113:M113"/>
    <mergeCell ref="L116:M116"/>
    <mergeCell ref="L117:M117"/>
    <mergeCell ref="L101:M101"/>
    <mergeCell ref="L103:M103"/>
    <mergeCell ref="L107:M107"/>
    <mergeCell ref="L108:M108"/>
    <mergeCell ref="L109:M109"/>
    <mergeCell ref="L126:M126"/>
    <mergeCell ref="L127:M127"/>
    <mergeCell ref="L128:M128"/>
    <mergeCell ref="L129:M129"/>
    <mergeCell ref="L131:M131"/>
    <mergeCell ref="L118:M118"/>
    <mergeCell ref="L119:M119"/>
    <mergeCell ref="L120:M120"/>
    <mergeCell ref="L122:M122"/>
    <mergeCell ref="L125:M125"/>
    <mergeCell ref="L140:M140"/>
    <mergeCell ref="L143:M143"/>
    <mergeCell ref="L144:M144"/>
    <mergeCell ref="L145:M145"/>
    <mergeCell ref="L146:M146"/>
    <mergeCell ref="L147:M147"/>
    <mergeCell ref="L134:M134"/>
    <mergeCell ref="L135:M135"/>
    <mergeCell ref="L136:M136"/>
    <mergeCell ref="L137:M137"/>
    <mergeCell ref="L138:M138"/>
    <mergeCell ref="L157:M157"/>
    <mergeCell ref="L163:M163"/>
    <mergeCell ref="L164:M164"/>
    <mergeCell ref="L166:M166"/>
    <mergeCell ref="L169:M169"/>
    <mergeCell ref="L149:M149"/>
    <mergeCell ref="L151:M151"/>
    <mergeCell ref="L155:M155"/>
    <mergeCell ref="L156:M156"/>
    <mergeCell ref="L158:M158"/>
    <mergeCell ref="L159:M159"/>
    <mergeCell ref="L160:M160"/>
    <mergeCell ref="L161:M161"/>
    <mergeCell ref="L162:M162"/>
    <mergeCell ref="L178:M178"/>
    <mergeCell ref="L179:M179"/>
    <mergeCell ref="L180:M180"/>
    <mergeCell ref="L181:M181"/>
    <mergeCell ref="L182:M182"/>
    <mergeCell ref="L170:M170"/>
    <mergeCell ref="L171:M171"/>
    <mergeCell ref="L172:M172"/>
    <mergeCell ref="L173:M173"/>
    <mergeCell ref="L175:M175"/>
    <mergeCell ref="L193:M193"/>
    <mergeCell ref="L196:M196"/>
    <mergeCell ref="L197:M197"/>
    <mergeCell ref="L198:M198"/>
    <mergeCell ref="L199:M199"/>
    <mergeCell ref="L184:M184"/>
    <mergeCell ref="L187:M187"/>
    <mergeCell ref="L188:M188"/>
    <mergeCell ref="L189:M189"/>
    <mergeCell ref="L190:M190"/>
    <mergeCell ref="L191:M191"/>
    <mergeCell ref="L208:M208"/>
    <mergeCell ref="L209:M209"/>
    <mergeCell ref="L211:M211"/>
    <mergeCell ref="L214:M214"/>
    <mergeCell ref="L215:M215"/>
    <mergeCell ref="L200:M200"/>
    <mergeCell ref="L202:M202"/>
    <mergeCell ref="L205:M205"/>
    <mergeCell ref="L206:M206"/>
    <mergeCell ref="L207:M207"/>
    <mergeCell ref="L224:M224"/>
    <mergeCell ref="L225:M225"/>
    <mergeCell ref="L226:M226"/>
    <mergeCell ref="L227:M227"/>
    <mergeCell ref="L228:M228"/>
    <mergeCell ref="L229:M229"/>
    <mergeCell ref="L216:M216"/>
    <mergeCell ref="L217:M217"/>
    <mergeCell ref="L218:M218"/>
    <mergeCell ref="L220:M220"/>
    <mergeCell ref="O37:P37"/>
    <mergeCell ref="O40:P40"/>
    <mergeCell ref="O43:P43"/>
    <mergeCell ref="O46:P46"/>
    <mergeCell ref="O49:P49"/>
    <mergeCell ref="L253:M253"/>
    <mergeCell ref="O8:P8"/>
    <mergeCell ref="O9:P9"/>
    <mergeCell ref="O11:P11"/>
    <mergeCell ref="O13:P13"/>
    <mergeCell ref="O16:P16"/>
    <mergeCell ref="O19:P19"/>
    <mergeCell ref="O22:P22"/>
    <mergeCell ref="O34:P34"/>
    <mergeCell ref="L241:M241"/>
    <mergeCell ref="L243:M243"/>
    <mergeCell ref="L245:M245"/>
    <mergeCell ref="L247:M247"/>
    <mergeCell ref="L249:M249"/>
    <mergeCell ref="L251:M251"/>
    <mergeCell ref="L231:M231"/>
    <mergeCell ref="L233:M233"/>
    <mergeCell ref="L235:M235"/>
    <mergeCell ref="L240:M240"/>
    <mergeCell ref="O67:P67"/>
    <mergeCell ref="O70:P70"/>
    <mergeCell ref="O76:P76"/>
    <mergeCell ref="O80:P80"/>
    <mergeCell ref="O52:P52"/>
    <mergeCell ref="O55:P55"/>
    <mergeCell ref="O58:P58"/>
    <mergeCell ref="O61:P61"/>
    <mergeCell ref="O64:P64"/>
    <mergeCell ref="O72:P72"/>
    <mergeCell ref="O73:P73"/>
    <mergeCell ref="O74:P74"/>
    <mergeCell ref="O96:P96"/>
    <mergeCell ref="O97:P97"/>
    <mergeCell ref="O98:P98"/>
    <mergeCell ref="O99:P99"/>
    <mergeCell ref="O101:P101"/>
    <mergeCell ref="O81:P81"/>
    <mergeCell ref="O82:P82"/>
    <mergeCell ref="O90:P90"/>
    <mergeCell ref="O95:P95"/>
    <mergeCell ref="O89:P89"/>
    <mergeCell ref="O88:P88"/>
    <mergeCell ref="O87:P87"/>
    <mergeCell ref="O84:P84"/>
    <mergeCell ref="O83:P83"/>
    <mergeCell ref="O111:P111"/>
    <mergeCell ref="O113:P113"/>
    <mergeCell ref="O116:P116"/>
    <mergeCell ref="O117:P117"/>
    <mergeCell ref="O118:P118"/>
    <mergeCell ref="O103:P103"/>
    <mergeCell ref="O107:P107"/>
    <mergeCell ref="O108:P108"/>
    <mergeCell ref="O109:P109"/>
    <mergeCell ref="O110:P110"/>
    <mergeCell ref="O127:P127"/>
    <mergeCell ref="O128:P128"/>
    <mergeCell ref="O129:P129"/>
    <mergeCell ref="O131:P131"/>
    <mergeCell ref="O134:P134"/>
    <mergeCell ref="O119:P119"/>
    <mergeCell ref="O120:P120"/>
    <mergeCell ref="O122:P122"/>
    <mergeCell ref="O125:P125"/>
    <mergeCell ref="O126:P126"/>
    <mergeCell ref="O143:P143"/>
    <mergeCell ref="O144:P144"/>
    <mergeCell ref="O145:P145"/>
    <mergeCell ref="O146:P146"/>
    <mergeCell ref="O147:P147"/>
    <mergeCell ref="O135:P135"/>
    <mergeCell ref="O136:P136"/>
    <mergeCell ref="O137:P137"/>
    <mergeCell ref="O138:P138"/>
    <mergeCell ref="O140:P140"/>
    <mergeCell ref="O163:P163"/>
    <mergeCell ref="O164:P164"/>
    <mergeCell ref="O166:P166"/>
    <mergeCell ref="O169:P169"/>
    <mergeCell ref="O170:P170"/>
    <mergeCell ref="O149:P149"/>
    <mergeCell ref="O151:P151"/>
    <mergeCell ref="O155:P155"/>
    <mergeCell ref="O156:P156"/>
    <mergeCell ref="O157:P157"/>
    <mergeCell ref="O158:P158"/>
    <mergeCell ref="O159:P159"/>
    <mergeCell ref="O160:P160"/>
    <mergeCell ref="O161:P161"/>
    <mergeCell ref="O162:P162"/>
    <mergeCell ref="O179:P179"/>
    <mergeCell ref="O180:P180"/>
    <mergeCell ref="O181:P181"/>
    <mergeCell ref="O182:P182"/>
    <mergeCell ref="O184:P184"/>
    <mergeCell ref="O171:P171"/>
    <mergeCell ref="O172:P172"/>
    <mergeCell ref="O173:P173"/>
    <mergeCell ref="O175:P175"/>
    <mergeCell ref="O178:P178"/>
    <mergeCell ref="O193:P193"/>
    <mergeCell ref="O196:P196"/>
    <mergeCell ref="O197:P197"/>
    <mergeCell ref="O198:P198"/>
    <mergeCell ref="O199:P199"/>
    <mergeCell ref="O200:P200"/>
    <mergeCell ref="O187:P187"/>
    <mergeCell ref="O188:P188"/>
    <mergeCell ref="O189:P189"/>
    <mergeCell ref="O190:P190"/>
    <mergeCell ref="O191:P191"/>
    <mergeCell ref="O209:P209"/>
    <mergeCell ref="O211:P211"/>
    <mergeCell ref="O214:P214"/>
    <mergeCell ref="O215:P215"/>
    <mergeCell ref="O216:P216"/>
    <mergeCell ref="O202:P202"/>
    <mergeCell ref="O205:P205"/>
    <mergeCell ref="O206:P206"/>
    <mergeCell ref="O207:P207"/>
    <mergeCell ref="O208:P208"/>
    <mergeCell ref="O225:P225"/>
    <mergeCell ref="O226:P226"/>
    <mergeCell ref="O227:P227"/>
    <mergeCell ref="O228:P228"/>
    <mergeCell ref="O229:P229"/>
    <mergeCell ref="O217:P217"/>
    <mergeCell ref="O218:P218"/>
    <mergeCell ref="O220:P220"/>
    <mergeCell ref="O224:P224"/>
    <mergeCell ref="O243:P243"/>
    <mergeCell ref="O245:P245"/>
    <mergeCell ref="O247:P247"/>
    <mergeCell ref="O249:P249"/>
    <mergeCell ref="O251:P251"/>
    <mergeCell ref="O253:P253"/>
    <mergeCell ref="O231:P231"/>
    <mergeCell ref="O233:P233"/>
    <mergeCell ref="O235:P235"/>
    <mergeCell ref="O240:P240"/>
    <mergeCell ref="O241:P241"/>
    <mergeCell ref="R22:S22"/>
    <mergeCell ref="R34:S34"/>
    <mergeCell ref="R37:S37"/>
    <mergeCell ref="R40:S40"/>
    <mergeCell ref="R43:S43"/>
    <mergeCell ref="R9:S9"/>
    <mergeCell ref="R11:S11"/>
    <mergeCell ref="R13:S13"/>
    <mergeCell ref="R16:S16"/>
    <mergeCell ref="R19:S19"/>
    <mergeCell ref="R64:S64"/>
    <mergeCell ref="R67:S67"/>
    <mergeCell ref="R70:S70"/>
    <mergeCell ref="R76:S76"/>
    <mergeCell ref="R46:S46"/>
    <mergeCell ref="R49:S49"/>
    <mergeCell ref="R52:S52"/>
    <mergeCell ref="R55:S55"/>
    <mergeCell ref="R58:S58"/>
    <mergeCell ref="R61:S61"/>
    <mergeCell ref="R72:S72"/>
    <mergeCell ref="R73:S73"/>
    <mergeCell ref="R74:S74"/>
    <mergeCell ref="R95:S95"/>
    <mergeCell ref="R96:S96"/>
    <mergeCell ref="R97:S97"/>
    <mergeCell ref="R98:S98"/>
    <mergeCell ref="R99:S99"/>
    <mergeCell ref="R80:S80"/>
    <mergeCell ref="R81:S81"/>
    <mergeCell ref="R82:S82"/>
    <mergeCell ref="R90:S90"/>
    <mergeCell ref="R83:S83"/>
    <mergeCell ref="R84:S84"/>
    <mergeCell ref="R87:S87"/>
    <mergeCell ref="R88:S88"/>
    <mergeCell ref="R89:S89"/>
    <mergeCell ref="R109:S109"/>
    <mergeCell ref="R110:S110"/>
    <mergeCell ref="R111:S111"/>
    <mergeCell ref="R113:S113"/>
    <mergeCell ref="R116:S116"/>
    <mergeCell ref="R101:S101"/>
    <mergeCell ref="R103:S103"/>
    <mergeCell ref="R107:S107"/>
    <mergeCell ref="R108:S108"/>
    <mergeCell ref="R125:S125"/>
    <mergeCell ref="R126:S126"/>
    <mergeCell ref="R127:S127"/>
    <mergeCell ref="R128:S128"/>
    <mergeCell ref="R129:S129"/>
    <mergeCell ref="R117:S117"/>
    <mergeCell ref="R118:S118"/>
    <mergeCell ref="R119:S119"/>
    <mergeCell ref="R120:S120"/>
    <mergeCell ref="R122:S122"/>
    <mergeCell ref="R140:S140"/>
    <mergeCell ref="R143:S143"/>
    <mergeCell ref="R144:S144"/>
    <mergeCell ref="R145:S145"/>
    <mergeCell ref="R146:S146"/>
    <mergeCell ref="R131:S131"/>
    <mergeCell ref="R134:S134"/>
    <mergeCell ref="R135:S135"/>
    <mergeCell ref="R136:S136"/>
    <mergeCell ref="R137:S137"/>
    <mergeCell ref="R138:S138"/>
    <mergeCell ref="R156:S156"/>
    <mergeCell ref="R157:S157"/>
    <mergeCell ref="R163:S163"/>
    <mergeCell ref="R164:S164"/>
    <mergeCell ref="R166:S166"/>
    <mergeCell ref="R147:S147"/>
    <mergeCell ref="R149:S149"/>
    <mergeCell ref="R151:S151"/>
    <mergeCell ref="R155:S155"/>
    <mergeCell ref="R158:S158"/>
    <mergeCell ref="R159:S159"/>
    <mergeCell ref="R160:S160"/>
    <mergeCell ref="R161:S161"/>
    <mergeCell ref="R162:S162"/>
    <mergeCell ref="R175:S175"/>
    <mergeCell ref="R178:S178"/>
    <mergeCell ref="R179:S179"/>
    <mergeCell ref="R180:S180"/>
    <mergeCell ref="R181:S181"/>
    <mergeCell ref="R182:S182"/>
    <mergeCell ref="R169:S169"/>
    <mergeCell ref="R170:S170"/>
    <mergeCell ref="R171:S171"/>
    <mergeCell ref="R172:S172"/>
    <mergeCell ref="R173:S173"/>
    <mergeCell ref="R191:S191"/>
    <mergeCell ref="R193:S193"/>
    <mergeCell ref="R196:S196"/>
    <mergeCell ref="R197:S197"/>
    <mergeCell ref="R198:S198"/>
    <mergeCell ref="R184:S184"/>
    <mergeCell ref="R187:S187"/>
    <mergeCell ref="R188:S188"/>
    <mergeCell ref="R189:S189"/>
    <mergeCell ref="R190:S190"/>
    <mergeCell ref="R207:S207"/>
    <mergeCell ref="R208:S208"/>
    <mergeCell ref="R209:S209"/>
    <mergeCell ref="R211:S211"/>
    <mergeCell ref="R214:S214"/>
    <mergeCell ref="R199:S199"/>
    <mergeCell ref="R200:S200"/>
    <mergeCell ref="R202:S202"/>
    <mergeCell ref="R205:S205"/>
    <mergeCell ref="R206:S206"/>
    <mergeCell ref="R235:S235"/>
    <mergeCell ref="R224:S224"/>
    <mergeCell ref="R225:S225"/>
    <mergeCell ref="R226:S226"/>
    <mergeCell ref="R227:S227"/>
    <mergeCell ref="R228:S228"/>
    <mergeCell ref="R215:S215"/>
    <mergeCell ref="R216:S216"/>
    <mergeCell ref="R217:S217"/>
    <mergeCell ref="R218:S218"/>
    <mergeCell ref="R220:S220"/>
    <mergeCell ref="V34:W34"/>
    <mergeCell ref="V37:W37"/>
    <mergeCell ref="V40:W40"/>
    <mergeCell ref="V42:W42"/>
    <mergeCell ref="V43:W43"/>
    <mergeCell ref="V46:W46"/>
    <mergeCell ref="R251:S251"/>
    <mergeCell ref="R253:S253"/>
    <mergeCell ref="V8:W8"/>
    <mergeCell ref="V9:W9"/>
    <mergeCell ref="V11:W11"/>
    <mergeCell ref="V13:W13"/>
    <mergeCell ref="V16:W16"/>
    <mergeCell ref="V19:W19"/>
    <mergeCell ref="V22:W22"/>
    <mergeCell ref="R240:S240"/>
    <mergeCell ref="R241:S241"/>
    <mergeCell ref="R243:S243"/>
    <mergeCell ref="R245:S245"/>
    <mergeCell ref="R247:S247"/>
    <mergeCell ref="R249:S249"/>
    <mergeCell ref="R229:S229"/>
    <mergeCell ref="R231:S231"/>
    <mergeCell ref="R233:S233"/>
    <mergeCell ref="V66:W66"/>
    <mergeCell ref="V67:W67"/>
    <mergeCell ref="V70:W70"/>
    <mergeCell ref="V75:W75"/>
    <mergeCell ref="V76:W76"/>
    <mergeCell ref="V49:W49"/>
    <mergeCell ref="V52:W52"/>
    <mergeCell ref="V55:W55"/>
    <mergeCell ref="V58:W58"/>
    <mergeCell ref="V61:W61"/>
    <mergeCell ref="V64:W64"/>
    <mergeCell ref="V72:W72"/>
    <mergeCell ref="V73:W73"/>
    <mergeCell ref="V74:W74"/>
    <mergeCell ref="V95:W95"/>
    <mergeCell ref="V96:W96"/>
    <mergeCell ref="V97:W97"/>
    <mergeCell ref="V98:W98"/>
    <mergeCell ref="V99:W99"/>
    <mergeCell ref="V100:W100"/>
    <mergeCell ref="V80:W80"/>
    <mergeCell ref="V81:W81"/>
    <mergeCell ref="V82:W82"/>
    <mergeCell ref="V90:W90"/>
    <mergeCell ref="V91:W91"/>
    <mergeCell ref="V92:W92"/>
    <mergeCell ref="V83:W83"/>
    <mergeCell ref="V84:W84"/>
    <mergeCell ref="V87:W87"/>
    <mergeCell ref="V88:W88"/>
    <mergeCell ref="V89:W89"/>
    <mergeCell ref="V110:W110"/>
    <mergeCell ref="V111:W111"/>
    <mergeCell ref="V112:W112"/>
    <mergeCell ref="V113:W113"/>
    <mergeCell ref="V116:W116"/>
    <mergeCell ref="V117:W117"/>
    <mergeCell ref="V101:W101"/>
    <mergeCell ref="V102:W102"/>
    <mergeCell ref="V103:W103"/>
    <mergeCell ref="V107:W107"/>
    <mergeCell ref="V108:W108"/>
    <mergeCell ref="V109:W109"/>
    <mergeCell ref="V126:W126"/>
    <mergeCell ref="V127:W127"/>
    <mergeCell ref="V128:W128"/>
    <mergeCell ref="V129:W129"/>
    <mergeCell ref="V130:W130"/>
    <mergeCell ref="V131:W131"/>
    <mergeCell ref="V118:W118"/>
    <mergeCell ref="V119:W119"/>
    <mergeCell ref="V120:W120"/>
    <mergeCell ref="V121:W121"/>
    <mergeCell ref="V122:W122"/>
    <mergeCell ref="V125:W125"/>
    <mergeCell ref="V140:W140"/>
    <mergeCell ref="V143:W143"/>
    <mergeCell ref="V144:W144"/>
    <mergeCell ref="V145:W145"/>
    <mergeCell ref="V146:W146"/>
    <mergeCell ref="V147:W147"/>
    <mergeCell ref="V134:W134"/>
    <mergeCell ref="V135:W135"/>
    <mergeCell ref="V136:W136"/>
    <mergeCell ref="V137:W137"/>
    <mergeCell ref="V138:W138"/>
    <mergeCell ref="V139:W139"/>
    <mergeCell ref="V157:W157"/>
    <mergeCell ref="V163:W163"/>
    <mergeCell ref="V164:W164"/>
    <mergeCell ref="V165:W165"/>
    <mergeCell ref="V166:W166"/>
    <mergeCell ref="V169:W169"/>
    <mergeCell ref="V148:W148"/>
    <mergeCell ref="V149:W149"/>
    <mergeCell ref="V150:W150"/>
    <mergeCell ref="V151:W151"/>
    <mergeCell ref="V155:W155"/>
    <mergeCell ref="V156:W156"/>
    <mergeCell ref="V158:W158"/>
    <mergeCell ref="V159:W159"/>
    <mergeCell ref="V160:W160"/>
    <mergeCell ref="V161:W161"/>
    <mergeCell ref="V162:W162"/>
    <mergeCell ref="V178:W178"/>
    <mergeCell ref="V179:W179"/>
    <mergeCell ref="V180:W180"/>
    <mergeCell ref="V181:W181"/>
    <mergeCell ref="V182:W182"/>
    <mergeCell ref="V183:W183"/>
    <mergeCell ref="V170:W170"/>
    <mergeCell ref="V171:W171"/>
    <mergeCell ref="V172:W172"/>
    <mergeCell ref="V173:W173"/>
    <mergeCell ref="V174:W174"/>
    <mergeCell ref="V175:W175"/>
    <mergeCell ref="V192:W192"/>
    <mergeCell ref="V193:W193"/>
    <mergeCell ref="V196:W196"/>
    <mergeCell ref="V197:W197"/>
    <mergeCell ref="V198:W198"/>
    <mergeCell ref="V199:W199"/>
    <mergeCell ref="V184:W184"/>
    <mergeCell ref="V187:W187"/>
    <mergeCell ref="V188:W188"/>
    <mergeCell ref="V189:W189"/>
    <mergeCell ref="V190:W190"/>
    <mergeCell ref="V191:W191"/>
    <mergeCell ref="V208:W208"/>
    <mergeCell ref="V209:W209"/>
    <mergeCell ref="V210:W210"/>
    <mergeCell ref="V211:W211"/>
    <mergeCell ref="V214:W214"/>
    <mergeCell ref="V215:W215"/>
    <mergeCell ref="V200:W200"/>
    <mergeCell ref="V201:W201"/>
    <mergeCell ref="V202:W202"/>
    <mergeCell ref="V205:W205"/>
    <mergeCell ref="V206:W206"/>
    <mergeCell ref="V207:W207"/>
    <mergeCell ref="V240:W240"/>
    <mergeCell ref="V224:W224"/>
    <mergeCell ref="V225:W225"/>
    <mergeCell ref="V226:W226"/>
    <mergeCell ref="V227:W227"/>
    <mergeCell ref="V228:W228"/>
    <mergeCell ref="V229:W229"/>
    <mergeCell ref="V216:W216"/>
    <mergeCell ref="V217:W217"/>
    <mergeCell ref="V218:W218"/>
    <mergeCell ref="V219:W219"/>
    <mergeCell ref="V220:W220"/>
    <mergeCell ref="V223:W223"/>
    <mergeCell ref="D4:Y4"/>
    <mergeCell ref="D2:Y2"/>
    <mergeCell ref="F264:G264"/>
    <mergeCell ref="I264:J264"/>
    <mergeCell ref="L264:M264"/>
    <mergeCell ref="O257:P257"/>
    <mergeCell ref="R264:S264"/>
    <mergeCell ref="V264:W264"/>
    <mergeCell ref="V253:W253"/>
    <mergeCell ref="I92:J92"/>
    <mergeCell ref="L92:M92"/>
    <mergeCell ref="O92:P92"/>
    <mergeCell ref="R92:S92"/>
    <mergeCell ref="V241:W241"/>
    <mergeCell ref="V243:W243"/>
    <mergeCell ref="V245:W245"/>
    <mergeCell ref="V247:W247"/>
    <mergeCell ref="V249:W249"/>
    <mergeCell ref="V251:W251"/>
    <mergeCell ref="V230:W230"/>
    <mergeCell ref="V231:W231"/>
    <mergeCell ref="V233:W233"/>
    <mergeCell ref="V235:W235"/>
    <mergeCell ref="F31:G31"/>
    <mergeCell ref="AB257:AD257"/>
    <mergeCell ref="O264:Q264"/>
    <mergeCell ref="AO257:AQ257"/>
    <mergeCell ref="F257:G257"/>
    <mergeCell ref="I257:J257"/>
    <mergeCell ref="L257:M257"/>
    <mergeCell ref="R257:S257"/>
    <mergeCell ref="V257:W257"/>
    <mergeCell ref="F259:G259"/>
    <mergeCell ref="I259:J259"/>
    <mergeCell ref="L259:M259"/>
    <mergeCell ref="O259:P259"/>
    <mergeCell ref="R259:S259"/>
    <mergeCell ref="V259:W259"/>
    <mergeCell ref="F261:G261"/>
    <mergeCell ref="I261:J261"/>
    <mergeCell ref="L261:M261"/>
    <mergeCell ref="O261:P261"/>
    <mergeCell ref="R261:S261"/>
    <mergeCell ref="V261:W261"/>
    <mergeCell ref="I31:J31"/>
    <mergeCell ref="L31:M31"/>
    <mergeCell ref="O31:P31"/>
    <mergeCell ref="R31:S31"/>
    <mergeCell ref="F25:G25"/>
    <mergeCell ref="I25:J25"/>
    <mergeCell ref="L25:M25"/>
    <mergeCell ref="O25:P25"/>
    <mergeCell ref="R25:S25"/>
    <mergeCell ref="F28:G28"/>
    <mergeCell ref="I28:J28"/>
    <mergeCell ref="L28:M28"/>
    <mergeCell ref="O28:P28"/>
    <mergeCell ref="R28:S28"/>
  </mergeCells>
  <dataValidations count="1">
    <dataValidation type="list" allowBlank="1" showInputMessage="1" showErrorMessage="1" sqref="D16 D40 D19 D34 D37 D46 D22 D49 D52 D55 D58 D61 D64 D25 D28 D31" xr:uid="{00000000-0002-0000-0E00-000000000000}">
      <formula1>Faculty</formula1>
    </dataValidation>
  </dataValidations>
  <printOptions horizontalCentered="1"/>
  <pageMargins left="0.5" right="0.5" top="0.5" bottom="0.5" header="0.5" footer="0.23"/>
  <pageSetup scale="79" fitToHeight="2" orientation="portrait" horizontalDpi="300" verticalDpi="300" r:id="rId1"/>
  <headerFooter alignWithMargins="0">
    <oddFooter>&amp;L&amp;"Calibri,Regular"&amp;9&amp;F/&amp;A&amp;C&amp;"Calibri,Regular"&amp;9Page &amp;P of &amp;N&amp;R&amp;"Calibri,Regular"&amp;9&amp;D</oddFooter>
  </headerFooter>
  <rowBreaks count="1" manualBreakCount="1">
    <brk id="176" max="24" man="1"/>
  </rowBreaks>
  <ignoredErrors>
    <ignoredError sqref="B79:B94 B163:B222 B154:B15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X25"/>
  <sheetViews>
    <sheetView zoomScaleNormal="100" workbookViewId="0">
      <selection activeCell="L14" sqref="L14"/>
    </sheetView>
  </sheetViews>
  <sheetFormatPr defaultColWidth="3.33203125" defaultRowHeight="13.8" x14ac:dyDescent="0.3"/>
  <cols>
    <col min="1" max="3" width="3.33203125" style="106" customWidth="1"/>
    <col min="4" max="4" width="1.77734375" style="106" customWidth="1"/>
    <col min="5" max="5" width="21.88671875" style="106" customWidth="1"/>
    <col min="6" max="6" width="10.109375" style="180" customWidth="1"/>
    <col min="7" max="7" width="8" style="180" customWidth="1"/>
    <col min="8" max="8" width="0.88671875" style="106" customWidth="1"/>
    <col min="9" max="10" width="9.33203125" style="180" customWidth="1"/>
    <col min="11" max="11" width="0.88671875" style="106" customWidth="1"/>
    <col min="12" max="13" width="9.33203125" style="180" customWidth="1"/>
    <col min="14" max="14" width="0.88671875" style="106" customWidth="1"/>
    <col min="15" max="16" width="9.33203125" style="106" customWidth="1"/>
    <col min="17" max="17" width="0.88671875" style="106" customWidth="1"/>
    <col min="18" max="19" width="9.33203125" style="106" customWidth="1"/>
    <col min="20" max="20" width="0.88671875" style="106" customWidth="1"/>
    <col min="21" max="23" width="9.33203125" style="180" customWidth="1"/>
    <col min="24" max="16384" width="3.33203125" style="106"/>
  </cols>
  <sheetData>
    <row r="2" spans="2:24" ht="23.4" x14ac:dyDescent="0.45">
      <c r="E2" s="799" t="s">
        <v>746</v>
      </c>
      <c r="F2" s="799"/>
      <c r="G2" s="799"/>
      <c r="H2" s="799"/>
      <c r="I2" s="799"/>
      <c r="J2" s="799"/>
      <c r="K2" s="799"/>
      <c r="L2" s="799"/>
      <c r="M2" s="799"/>
      <c r="N2" s="799"/>
      <c r="O2" s="799"/>
      <c r="P2" s="799"/>
      <c r="Q2" s="799"/>
      <c r="R2" s="799"/>
      <c r="S2" s="799"/>
      <c r="T2" s="799"/>
      <c r="U2" s="799"/>
      <c r="V2" s="799"/>
      <c r="W2" s="799"/>
      <c r="X2" s="799"/>
    </row>
    <row r="3" spans="2:24" ht="15.6" x14ac:dyDescent="0.3">
      <c r="E3" s="800" t="s">
        <v>852</v>
      </c>
      <c r="F3" s="800"/>
      <c r="G3" s="800"/>
      <c r="H3" s="800"/>
      <c r="I3" s="800"/>
      <c r="J3" s="800"/>
      <c r="K3" s="800"/>
      <c r="L3" s="800"/>
      <c r="M3" s="800"/>
      <c r="N3" s="800"/>
      <c r="O3" s="800"/>
      <c r="P3" s="800"/>
      <c r="Q3" s="800"/>
      <c r="R3" s="800"/>
      <c r="S3" s="800"/>
      <c r="T3" s="800"/>
      <c r="U3" s="800"/>
      <c r="V3" s="800"/>
      <c r="W3" s="800"/>
      <c r="X3" s="800"/>
    </row>
    <row r="4" spans="2:24" ht="45" customHeight="1" x14ac:dyDescent="0.4">
      <c r="E4" s="801">
        <f>'YEAR 1'!D4</f>
        <v>0</v>
      </c>
      <c r="F4" s="801"/>
      <c r="G4" s="801"/>
      <c r="H4" s="801"/>
      <c r="I4" s="801"/>
      <c r="J4" s="801"/>
      <c r="K4" s="801"/>
      <c r="L4" s="801"/>
      <c r="M4" s="801"/>
      <c r="N4" s="801"/>
      <c r="O4" s="801"/>
      <c r="P4" s="801"/>
      <c r="Q4" s="801"/>
      <c r="R4" s="801"/>
      <c r="S4" s="801"/>
      <c r="T4" s="801"/>
      <c r="U4" s="801"/>
      <c r="V4" s="801"/>
      <c r="W4" s="801"/>
      <c r="X4" s="801"/>
    </row>
    <row r="5" spans="2:24" ht="16.5" customHeight="1" x14ac:dyDescent="0.3">
      <c r="E5" s="802" t="str">
        <f>CONCATENATE("Total Proposal:  ",TEXT(StartDate,"mmmm dd, yyyy")," - ",TEXT(EndDate,"mmmm dd, yyyy"))</f>
        <v>Total Proposal:  January 00, 1900 - January 00, 1900</v>
      </c>
      <c r="F5" s="802"/>
      <c r="G5" s="802"/>
      <c r="H5" s="802"/>
      <c r="I5" s="802"/>
      <c r="J5" s="802"/>
      <c r="K5" s="802"/>
      <c r="L5" s="802"/>
      <c r="M5" s="802"/>
      <c r="N5" s="802"/>
      <c r="O5" s="802"/>
      <c r="P5" s="802"/>
      <c r="Q5" s="802"/>
      <c r="R5" s="802"/>
      <c r="S5" s="802"/>
      <c r="T5" s="802"/>
      <c r="U5" s="802"/>
      <c r="V5" s="802"/>
      <c r="W5" s="802"/>
      <c r="X5" s="802"/>
    </row>
    <row r="6" spans="2:24" s="110" customFormat="1" ht="3" customHeight="1" x14ac:dyDescent="0.3">
      <c r="E6" s="111"/>
      <c r="F6" s="277"/>
      <c r="G6" s="277"/>
      <c r="I6" s="277"/>
      <c r="J6" s="277"/>
      <c r="L6" s="277"/>
      <c r="M6" s="277"/>
      <c r="U6" s="277"/>
      <c r="V6" s="277"/>
      <c r="W6" s="277"/>
    </row>
    <row r="7" spans="2:24" ht="14.4" thickBot="1" x14ac:dyDescent="0.35"/>
    <row r="8" spans="2:24" ht="14.4" thickBot="1" x14ac:dyDescent="0.35">
      <c r="F8" s="803" t="s">
        <v>853</v>
      </c>
      <c r="G8" s="803"/>
      <c r="H8" s="113"/>
      <c r="I8" s="803" t="s">
        <v>854</v>
      </c>
      <c r="J8" s="803"/>
      <c r="K8" s="113"/>
      <c r="L8" s="803" t="s">
        <v>855</v>
      </c>
      <c r="M8" s="803"/>
      <c r="N8" s="113"/>
      <c r="O8" s="804" t="s">
        <v>856</v>
      </c>
      <c r="P8" s="804"/>
      <c r="Q8" s="113"/>
      <c r="R8" s="804" t="s">
        <v>857</v>
      </c>
      <c r="S8" s="804"/>
      <c r="T8" s="113"/>
      <c r="U8" s="805" t="s">
        <v>858</v>
      </c>
      <c r="V8" s="806"/>
      <c r="W8" s="807"/>
    </row>
    <row r="9" spans="2:24" x14ac:dyDescent="0.3">
      <c r="F9" s="360" t="str">
        <f>'YEAR 1'!H8</f>
        <v>A.</v>
      </c>
      <c r="G9" s="352" t="str">
        <f>'YEAR 1'!U8</f>
        <v>B.</v>
      </c>
      <c r="H9" s="113"/>
      <c r="I9" s="360" t="s">
        <v>180</v>
      </c>
      <c r="J9" s="352" t="s">
        <v>182</v>
      </c>
      <c r="K9" s="113"/>
      <c r="L9" s="360" t="s">
        <v>180</v>
      </c>
      <c r="M9" s="352" t="s">
        <v>182</v>
      </c>
      <c r="N9" s="113"/>
      <c r="O9" s="360" t="s">
        <v>180</v>
      </c>
      <c r="P9" s="352" t="s">
        <v>182</v>
      </c>
      <c r="Q9" s="113"/>
      <c r="R9" s="360" t="s">
        <v>180</v>
      </c>
      <c r="S9" s="352" t="s">
        <v>182</v>
      </c>
      <c r="T9" s="113"/>
      <c r="U9" s="364" t="s">
        <v>180</v>
      </c>
      <c r="V9" s="365" t="s">
        <v>182</v>
      </c>
      <c r="W9" s="381"/>
    </row>
    <row r="10" spans="2:24" ht="28.2" thickBot="1" x14ac:dyDescent="0.35">
      <c r="F10" s="361" t="str">
        <f>'YEAR 1'!H9</f>
        <v>Grant Expenses</v>
      </c>
      <c r="G10" s="362" t="str">
        <f>'YEAR 1'!U9</f>
        <v>SDSM&amp;T Match</v>
      </c>
      <c r="H10" s="363"/>
      <c r="I10" s="361" t="s">
        <v>786</v>
      </c>
      <c r="J10" s="362" t="s">
        <v>787</v>
      </c>
      <c r="K10" s="363"/>
      <c r="L10" s="361" t="s">
        <v>786</v>
      </c>
      <c r="M10" s="362" t="s">
        <v>787</v>
      </c>
      <c r="N10" s="363"/>
      <c r="O10" s="361" t="s">
        <v>786</v>
      </c>
      <c r="P10" s="362" t="s">
        <v>787</v>
      </c>
      <c r="Q10" s="363"/>
      <c r="R10" s="361" t="s">
        <v>786</v>
      </c>
      <c r="S10" s="362" t="s">
        <v>787</v>
      </c>
      <c r="T10" s="363"/>
      <c r="U10" s="366" t="s">
        <v>786</v>
      </c>
      <c r="V10" s="367" t="s">
        <v>787</v>
      </c>
      <c r="W10" s="368" t="s">
        <v>785</v>
      </c>
    </row>
    <row r="11" spans="2:24" ht="5.25" customHeight="1" thickBot="1" x14ac:dyDescent="0.35">
      <c r="F11" s="370"/>
      <c r="G11" s="371"/>
      <c r="H11" s="157"/>
      <c r="I11" s="371"/>
      <c r="J11" s="371"/>
      <c r="K11" s="157"/>
      <c r="L11" s="371"/>
      <c r="M11" s="371"/>
      <c r="N11" s="157"/>
      <c r="O11" s="353"/>
      <c r="P11" s="353"/>
      <c r="Q11" s="157"/>
      <c r="R11" s="353"/>
      <c r="S11" s="353"/>
      <c r="T11" s="157"/>
      <c r="U11" s="376"/>
      <c r="V11" s="376"/>
      <c r="W11" s="377"/>
    </row>
    <row r="12" spans="2:24" ht="14.4" thickBot="1" x14ac:dyDescent="0.35">
      <c r="B12" s="354" t="str">
        <f>'YEAR 1'!A12</f>
        <v>A.</v>
      </c>
      <c r="C12" s="355" t="str">
        <f>'YEAR 1'!B12</f>
        <v>SENIOR PERSONNEL</v>
      </c>
      <c r="D12" s="355"/>
      <c r="E12" s="355"/>
      <c r="F12" s="372">
        <f>'YEAR 1'!P43</f>
        <v>0</v>
      </c>
      <c r="G12" s="373">
        <f>'YEAR 1'!AD43</f>
        <v>0</v>
      </c>
      <c r="H12" s="157"/>
      <c r="I12" s="372">
        <f>'YEAR 2'!P43</f>
        <v>0</v>
      </c>
      <c r="J12" s="373">
        <f>'YEAR 2'!AC43</f>
        <v>0</v>
      </c>
      <c r="K12" s="157"/>
      <c r="L12" s="372">
        <f>'YEAR 3'!P43</f>
        <v>0</v>
      </c>
      <c r="M12" s="373">
        <f>'YEAR 3'!AD43</f>
        <v>0</v>
      </c>
      <c r="N12" s="157"/>
      <c r="O12" s="372">
        <f>'YEAR 4'!P43</f>
        <v>0</v>
      </c>
      <c r="P12" s="373">
        <f>'YEAR 4'!AC43</f>
        <v>0</v>
      </c>
      <c r="Q12" s="157"/>
      <c r="R12" s="372">
        <f>'YEAR 5'!P43</f>
        <v>0</v>
      </c>
      <c r="S12" s="373">
        <f>'YEAR 5'!AC43</f>
        <v>0</v>
      </c>
      <c r="T12" s="157"/>
      <c r="U12" s="378">
        <f t="shared" ref="U12:V19" si="0">F12+I12+L12+O12+R12</f>
        <v>0</v>
      </c>
      <c r="V12" s="379">
        <f t="shared" si="0"/>
        <v>0</v>
      </c>
      <c r="W12" s="380">
        <f t="shared" ref="W12:W19" si="1">U12+V12</f>
        <v>0</v>
      </c>
    </row>
    <row r="13" spans="2:24" ht="14.4" thickBot="1" x14ac:dyDescent="0.35">
      <c r="B13" s="359" t="str">
        <f>'YEAR 1'!A45</f>
        <v>B.</v>
      </c>
      <c r="C13" s="358" t="str">
        <f>'YEAR 1'!B45</f>
        <v>OTHER PERSONNEL</v>
      </c>
      <c r="D13" s="358"/>
      <c r="E13" s="358"/>
      <c r="F13" s="374" t="e">
        <f>'YEAR 1'!#REF!</f>
        <v>#REF!</v>
      </c>
      <c r="G13" s="374" t="e">
        <f>'YEAR 1'!#REF!</f>
        <v>#REF!</v>
      </c>
      <c r="H13" s="157"/>
      <c r="I13" s="374">
        <f>'YEAR 2'!P67</f>
        <v>0</v>
      </c>
      <c r="J13" s="374">
        <f>'YEAR 2'!AC67</f>
        <v>0</v>
      </c>
      <c r="K13" s="157"/>
      <c r="L13" s="374">
        <f>'YEAR 3'!P67</f>
        <v>0</v>
      </c>
      <c r="M13" s="374">
        <f>'YEAR 3'!AD67</f>
        <v>0</v>
      </c>
      <c r="N13" s="157"/>
      <c r="O13" s="374">
        <f>'YEAR 4'!P67</f>
        <v>0</v>
      </c>
      <c r="P13" s="374">
        <f>'YEAR 4'!AC67</f>
        <v>0</v>
      </c>
      <c r="Q13" s="157"/>
      <c r="R13" s="374">
        <f>'YEAR 5'!P67</f>
        <v>0</v>
      </c>
      <c r="S13" s="374">
        <f>'YEAR 5'!AC67</f>
        <v>0</v>
      </c>
      <c r="T13" s="157"/>
      <c r="U13" s="377" t="e">
        <f t="shared" si="0"/>
        <v>#REF!</v>
      </c>
      <c r="V13" s="377" t="e">
        <f t="shared" si="0"/>
        <v>#REF!</v>
      </c>
      <c r="W13" s="377" t="e">
        <f t="shared" si="1"/>
        <v>#REF!</v>
      </c>
    </row>
    <row r="14" spans="2:24" ht="14.4" thickBot="1" x14ac:dyDescent="0.35">
      <c r="B14" s="354" t="str">
        <f>'YEAR 1'!A69</f>
        <v>C.</v>
      </c>
      <c r="C14" s="355" t="str">
        <f>'YEAR 1'!B69</f>
        <v>EQUIPMENT</v>
      </c>
      <c r="D14" s="355"/>
      <c r="E14" s="355"/>
      <c r="F14" s="372">
        <f>'YEAR 1'!P76</f>
        <v>0</v>
      </c>
      <c r="G14" s="373">
        <f>'YEAR 1'!AC76</f>
        <v>0</v>
      </c>
      <c r="H14" s="157"/>
      <c r="I14" s="372">
        <f>'YEAR 2'!P76</f>
        <v>0</v>
      </c>
      <c r="J14" s="373">
        <f>'YEAR 2'!AC76</f>
        <v>0</v>
      </c>
      <c r="K14" s="157"/>
      <c r="L14" s="372">
        <f>'YEAR 3'!P76</f>
        <v>0</v>
      </c>
      <c r="M14" s="373">
        <f>'YEAR 3'!AD76</f>
        <v>0</v>
      </c>
      <c r="N14" s="157"/>
      <c r="O14" s="372">
        <f>'YEAR 4'!P76</f>
        <v>0</v>
      </c>
      <c r="P14" s="373">
        <f>'YEAR 4'!AC76</f>
        <v>0</v>
      </c>
      <c r="Q14" s="157"/>
      <c r="R14" s="372">
        <f>'YEAR 5'!P76</f>
        <v>0</v>
      </c>
      <c r="S14" s="373">
        <f>'YEAR 5'!AC76</f>
        <v>0</v>
      </c>
      <c r="T14" s="157"/>
      <c r="U14" s="378">
        <f t="shared" si="0"/>
        <v>0</v>
      </c>
      <c r="V14" s="379">
        <f t="shared" si="0"/>
        <v>0</v>
      </c>
      <c r="W14" s="380">
        <f t="shared" si="1"/>
        <v>0</v>
      </c>
    </row>
    <row r="15" spans="2:24" ht="14.4" thickBot="1" x14ac:dyDescent="0.35">
      <c r="B15" s="359" t="str">
        <f>'YEAR 1'!A78</f>
        <v>D.</v>
      </c>
      <c r="C15" s="358" t="str">
        <f>'YEAR 1'!B78</f>
        <v>TRAVEL</v>
      </c>
      <c r="D15" s="358"/>
      <c r="E15" s="358"/>
      <c r="F15" s="374">
        <f>'YEAR 1'!P103</f>
        <v>0</v>
      </c>
      <c r="G15" s="374">
        <f>'YEAR 1'!AC103</f>
        <v>0</v>
      </c>
      <c r="H15" s="157"/>
      <c r="I15" s="374">
        <f>'YEAR 2'!P103</f>
        <v>0</v>
      </c>
      <c r="J15" s="374">
        <f>'YEAR 2'!AC103</f>
        <v>0</v>
      </c>
      <c r="K15" s="157"/>
      <c r="L15" s="374">
        <f>'YEAR 3'!P103</f>
        <v>0</v>
      </c>
      <c r="M15" s="374">
        <f>'YEAR 3'!AC103</f>
        <v>0</v>
      </c>
      <c r="N15" s="157"/>
      <c r="O15" s="374">
        <f>'YEAR 4'!P103</f>
        <v>0</v>
      </c>
      <c r="P15" s="374">
        <f>'YEAR 4'!AC103</f>
        <v>0</v>
      </c>
      <c r="Q15" s="157"/>
      <c r="R15" s="374">
        <f>'YEAR 5'!P103</f>
        <v>0</v>
      </c>
      <c r="S15" s="374">
        <f>'YEAR 5'!AC103</f>
        <v>0</v>
      </c>
      <c r="T15" s="157"/>
      <c r="U15" s="377">
        <f t="shared" si="0"/>
        <v>0</v>
      </c>
      <c r="V15" s="377">
        <f t="shared" si="0"/>
        <v>0</v>
      </c>
      <c r="W15" s="377">
        <f t="shared" si="1"/>
        <v>0</v>
      </c>
    </row>
    <row r="16" spans="2:24" ht="14.4" thickBot="1" x14ac:dyDescent="0.35">
      <c r="B16" s="354" t="str">
        <f>'YEAR 1'!A105</f>
        <v>E.</v>
      </c>
      <c r="C16" s="355" t="str">
        <f>'YEAR 1'!B105</f>
        <v>PARTICIPANT/TRAINEE SUPPORT COSTS</v>
      </c>
      <c r="D16" s="355"/>
      <c r="E16" s="355"/>
      <c r="F16" s="372">
        <f>'YEAR 1'!P151</f>
        <v>0</v>
      </c>
      <c r="G16" s="373">
        <f>'YEAR 1'!AC151</f>
        <v>0</v>
      </c>
      <c r="H16" s="157"/>
      <c r="I16" s="372">
        <f>'YEAR 2'!P151</f>
        <v>0</v>
      </c>
      <c r="J16" s="373">
        <f>'YEAR 2'!AC151</f>
        <v>0</v>
      </c>
      <c r="K16" s="157"/>
      <c r="L16" s="372">
        <f>'YEAR 3'!P151</f>
        <v>0</v>
      </c>
      <c r="M16" s="373">
        <f>'YEAR 3'!AC151</f>
        <v>0</v>
      </c>
      <c r="N16" s="157"/>
      <c r="O16" s="372">
        <f>'YEAR 4'!P151</f>
        <v>0</v>
      </c>
      <c r="P16" s="373">
        <f>'YEAR 4'!AC151</f>
        <v>0</v>
      </c>
      <c r="Q16" s="157"/>
      <c r="R16" s="372">
        <f>'YEAR 5'!P151</f>
        <v>0</v>
      </c>
      <c r="S16" s="373">
        <f>'YEAR 5'!AC151</f>
        <v>0</v>
      </c>
      <c r="T16" s="157"/>
      <c r="U16" s="378">
        <f t="shared" si="0"/>
        <v>0</v>
      </c>
      <c r="V16" s="379">
        <f t="shared" si="0"/>
        <v>0</v>
      </c>
      <c r="W16" s="380">
        <f t="shared" si="1"/>
        <v>0</v>
      </c>
    </row>
    <row r="17" spans="2:23" ht="14.4" thickBot="1" x14ac:dyDescent="0.35">
      <c r="B17" s="359" t="str">
        <f>'YEAR 1'!A153</f>
        <v>F.</v>
      </c>
      <c r="C17" s="358" t="str">
        <f>'YEAR 1'!B153</f>
        <v>OTHER DIRECT COSTS</v>
      </c>
      <c r="D17" s="358"/>
      <c r="E17" s="358"/>
      <c r="F17" s="374">
        <f>'YEAR 1'!P233</f>
        <v>0</v>
      </c>
      <c r="G17" s="374">
        <f>'YEAR 1'!AC233</f>
        <v>0</v>
      </c>
      <c r="H17" s="157"/>
      <c r="I17" s="374">
        <f>'YEAR 2'!P233</f>
        <v>0</v>
      </c>
      <c r="J17" s="374">
        <f>'YEAR 2'!AC233</f>
        <v>0</v>
      </c>
      <c r="K17" s="157"/>
      <c r="L17" s="374">
        <f>'YEAR 3'!P233</f>
        <v>0</v>
      </c>
      <c r="M17" s="374">
        <f>'YEAR 3'!AC233</f>
        <v>0</v>
      </c>
      <c r="N17" s="157"/>
      <c r="O17" s="374">
        <f>'YEAR 4'!P233</f>
        <v>0</v>
      </c>
      <c r="P17" s="374">
        <f>'YEAR 4'!AC233</f>
        <v>0</v>
      </c>
      <c r="Q17" s="157"/>
      <c r="R17" s="374">
        <f>'YEAR 5'!P233</f>
        <v>0</v>
      </c>
      <c r="S17" s="374">
        <f>'YEAR 5'!AC233</f>
        <v>0</v>
      </c>
      <c r="T17" s="157"/>
      <c r="U17" s="377">
        <f t="shared" si="0"/>
        <v>0</v>
      </c>
      <c r="V17" s="377">
        <f t="shared" si="0"/>
        <v>0</v>
      </c>
      <c r="W17" s="377">
        <f t="shared" si="1"/>
        <v>0</v>
      </c>
    </row>
    <row r="18" spans="2:23" ht="14.4" thickBot="1" x14ac:dyDescent="0.35">
      <c r="B18" s="354" t="str">
        <f>'YEAR 1'!A235</f>
        <v>G.</v>
      </c>
      <c r="C18" s="355" t="str">
        <f>'YEAR 1'!B235</f>
        <v>TOTAL ALL DIRECT COSTS (A. ~ F.)</v>
      </c>
      <c r="D18" s="355"/>
      <c r="E18" s="355"/>
      <c r="F18" s="372" t="e">
        <f>SUM(F11:F17)</f>
        <v>#REF!</v>
      </c>
      <c r="G18" s="373" t="e">
        <f>SUM(G11:G17)</f>
        <v>#REF!</v>
      </c>
      <c r="H18" s="157"/>
      <c r="I18" s="372">
        <f>SUM(I11:I17)</f>
        <v>0</v>
      </c>
      <c r="J18" s="373">
        <f>SUM(J11:J17)</f>
        <v>0</v>
      </c>
      <c r="K18" s="157"/>
      <c r="L18" s="372">
        <f>SUM(L11:L17)</f>
        <v>0</v>
      </c>
      <c r="M18" s="373">
        <f>SUM(M11:M17)</f>
        <v>0</v>
      </c>
      <c r="N18" s="157"/>
      <c r="O18" s="372">
        <f>SUM(O11:O17)</f>
        <v>0</v>
      </c>
      <c r="P18" s="373">
        <f>SUM(P11:P17)</f>
        <v>0</v>
      </c>
      <c r="Q18" s="157"/>
      <c r="R18" s="372">
        <f>SUM(R11:R17)</f>
        <v>0</v>
      </c>
      <c r="S18" s="373">
        <f>SUM(S11:S17)</f>
        <v>0</v>
      </c>
      <c r="T18" s="157"/>
      <c r="U18" s="378" t="e">
        <f t="shared" si="0"/>
        <v>#REF!</v>
      </c>
      <c r="V18" s="379" t="e">
        <f t="shared" si="0"/>
        <v>#REF!</v>
      </c>
      <c r="W18" s="380" t="e">
        <f t="shared" si="1"/>
        <v>#REF!</v>
      </c>
    </row>
    <row r="19" spans="2:23" ht="14.4" thickBot="1" x14ac:dyDescent="0.35">
      <c r="B19" s="359" t="str">
        <f>'YEAR 1'!A237</f>
        <v>H.</v>
      </c>
      <c r="C19" s="358" t="str">
        <f>'YEAR 1'!B237</f>
        <v>INDIRECT COSTS</v>
      </c>
      <c r="D19" s="358"/>
      <c r="E19" s="358"/>
      <c r="F19" s="374">
        <f>'YEAR 1'!P251</f>
        <v>0</v>
      </c>
      <c r="G19" s="374">
        <f>'YEAR 1'!AC251</f>
        <v>0</v>
      </c>
      <c r="H19" s="157"/>
      <c r="I19" s="374">
        <f>'YEAR 2'!P251</f>
        <v>0</v>
      </c>
      <c r="J19" s="374">
        <f>'YEAR 2'!AC251</f>
        <v>0</v>
      </c>
      <c r="K19" s="157"/>
      <c r="L19" s="374">
        <f>'YEAR 3'!P251</f>
        <v>0</v>
      </c>
      <c r="M19" s="374">
        <f>'YEAR 3'!AC251</f>
        <v>0</v>
      </c>
      <c r="N19" s="157"/>
      <c r="O19" s="374">
        <f>'YEAR 4'!P251</f>
        <v>0</v>
      </c>
      <c r="P19" s="374">
        <f>'YEAR 4'!AC251</f>
        <v>0</v>
      </c>
      <c r="Q19" s="157"/>
      <c r="R19" s="374">
        <f>'YEAR 5'!P251</f>
        <v>0</v>
      </c>
      <c r="S19" s="374">
        <f>'YEAR 5'!AC251</f>
        <v>0</v>
      </c>
      <c r="T19" s="157"/>
      <c r="U19" s="377">
        <f t="shared" si="0"/>
        <v>0</v>
      </c>
      <c r="V19" s="377">
        <f t="shared" si="0"/>
        <v>0</v>
      </c>
      <c r="W19" s="377">
        <f t="shared" si="1"/>
        <v>0</v>
      </c>
    </row>
    <row r="20" spans="2:23" ht="6" customHeight="1" thickBot="1" x14ac:dyDescent="0.35">
      <c r="F20" s="371"/>
      <c r="G20" s="371"/>
      <c r="H20" s="157"/>
      <c r="I20" s="371"/>
      <c r="J20" s="371"/>
      <c r="K20" s="157"/>
      <c r="L20" s="371"/>
      <c r="M20" s="371"/>
      <c r="N20" s="157"/>
      <c r="O20" s="371"/>
      <c r="P20" s="371"/>
      <c r="Q20" s="157"/>
      <c r="R20" s="371"/>
      <c r="S20" s="371"/>
      <c r="T20" s="157"/>
      <c r="U20" s="379"/>
      <c r="V20" s="379"/>
      <c r="W20" s="379"/>
    </row>
    <row r="21" spans="2:23" ht="14.4" thickBot="1" x14ac:dyDescent="0.35">
      <c r="B21" s="356" t="str">
        <f>'YEAR 1'!A253</f>
        <v>I.</v>
      </c>
      <c r="C21" s="357" t="str">
        <f>'YEAR 1'!B253</f>
        <v>TOTAL DIRECT + INDIRECT (G. + H.)</v>
      </c>
      <c r="D21" s="357"/>
      <c r="E21" s="357"/>
      <c r="F21" s="375" t="e">
        <f>F18+F19</f>
        <v>#REF!</v>
      </c>
      <c r="G21" s="375" t="e">
        <f>G18+G19</f>
        <v>#REF!</v>
      </c>
      <c r="H21" s="113"/>
      <c r="I21" s="375">
        <f>I18+I19</f>
        <v>0</v>
      </c>
      <c r="J21" s="375">
        <f>J18+J19</f>
        <v>0</v>
      </c>
      <c r="K21" s="113"/>
      <c r="L21" s="375">
        <f>L18+L19</f>
        <v>0</v>
      </c>
      <c r="M21" s="375">
        <f>M18+M19</f>
        <v>0</v>
      </c>
      <c r="N21" s="113"/>
      <c r="O21" s="375">
        <f>O18+O19</f>
        <v>0</v>
      </c>
      <c r="P21" s="375">
        <f>P18+P19</f>
        <v>0</v>
      </c>
      <c r="Q21" s="113"/>
      <c r="R21" s="375">
        <f>R18+R19</f>
        <v>0</v>
      </c>
      <c r="S21" s="375">
        <f>S18+S19</f>
        <v>0</v>
      </c>
      <c r="T21" s="113"/>
      <c r="U21" s="377" t="e">
        <f>U18+U19</f>
        <v>#REF!</v>
      </c>
      <c r="V21" s="377" t="e">
        <f>V18+V19</f>
        <v>#REF!</v>
      </c>
      <c r="W21" s="377" t="e">
        <f>W18+W19</f>
        <v>#REF!</v>
      </c>
    </row>
    <row r="22" spans="2:23" x14ac:dyDescent="0.3">
      <c r="H22" s="157"/>
      <c r="K22" s="157"/>
      <c r="N22" s="157"/>
      <c r="O22" s="157"/>
      <c r="P22" s="157"/>
      <c r="Q22" s="157"/>
      <c r="R22" s="157"/>
      <c r="S22" s="157"/>
      <c r="T22" s="157"/>
    </row>
    <row r="23" spans="2:23" x14ac:dyDescent="0.3">
      <c r="F23" s="180">
        <f>'YEAR 1'!P253</f>
        <v>0</v>
      </c>
      <c r="G23" s="180">
        <f>'YEAR 1'!AC253</f>
        <v>0</v>
      </c>
      <c r="H23" s="157"/>
      <c r="I23" s="180">
        <f>'YEAR 2'!P253</f>
        <v>0</v>
      </c>
      <c r="J23" s="180">
        <f>'YEAR 2'!AC253</f>
        <v>0</v>
      </c>
      <c r="K23" s="157"/>
      <c r="L23" s="180">
        <f>'YEAR 3'!P253</f>
        <v>0</v>
      </c>
      <c r="M23" s="180">
        <f>'YEAR 3'!AC253</f>
        <v>0</v>
      </c>
      <c r="N23" s="157"/>
      <c r="O23" s="157">
        <f>'YEAR 4'!P253</f>
        <v>0</v>
      </c>
      <c r="P23" s="157">
        <f>'YEAR 4'!AC253</f>
        <v>0</v>
      </c>
      <c r="Q23" s="157"/>
      <c r="R23" s="157">
        <f>'YEAR 5'!P253</f>
        <v>0</v>
      </c>
      <c r="S23" s="157">
        <f>'YEAR 5'!AC253</f>
        <v>0</v>
      </c>
      <c r="T23" s="157"/>
      <c r="V23" s="180" t="e">
        <f>V21</f>
        <v>#REF!</v>
      </c>
    </row>
    <row r="25" spans="2:23" x14ac:dyDescent="0.3">
      <c r="G25" s="180">
        <f>G23-G24</f>
        <v>0</v>
      </c>
      <c r="J25" s="180">
        <f>J23-J24</f>
        <v>0</v>
      </c>
      <c r="M25" s="180">
        <f>M23-M24</f>
        <v>0</v>
      </c>
      <c r="V25" s="180" t="e">
        <f>V23-V24</f>
        <v>#REF!</v>
      </c>
    </row>
  </sheetData>
  <mergeCells count="10">
    <mergeCell ref="E2:X2"/>
    <mergeCell ref="E3:X3"/>
    <mergeCell ref="E4:X4"/>
    <mergeCell ref="E5:X5"/>
    <mergeCell ref="F8:G8"/>
    <mergeCell ref="I8:J8"/>
    <mergeCell ref="L8:M8"/>
    <mergeCell ref="O8:P8"/>
    <mergeCell ref="R8:S8"/>
    <mergeCell ref="U8:W8"/>
  </mergeCells>
  <phoneticPr fontId="27" type="noConversion"/>
  <printOptions horizontalCentered="1"/>
  <pageMargins left="0.25" right="0.25" top="0.5" bottom="0.5" header="0.5" footer="0.5"/>
  <pageSetup scale="63" fitToHeight="2" orientation="portrait" r:id="rId1"/>
  <headerFooter alignWithMargins="0">
    <oddFooter>&amp;L&amp;"Calibri,Regular"&amp;9&amp;F/&amp;A&amp;C&amp;"Calibri,Regular"&amp;9Page &amp;P of &amp;N&amp;R&amp;"Calibri,Regular"&amp;9&amp;D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2:X24"/>
  <sheetViews>
    <sheetView topLeftCell="A5" zoomScaleNormal="100" workbookViewId="0">
      <selection activeCell="J28" sqref="J28"/>
    </sheetView>
  </sheetViews>
  <sheetFormatPr defaultColWidth="3.33203125" defaultRowHeight="13.8" x14ac:dyDescent="0.3"/>
  <cols>
    <col min="1" max="3" width="3.33203125" style="106" customWidth="1"/>
    <col min="4" max="4" width="1.77734375" style="106" customWidth="1"/>
    <col min="5" max="5" width="21.88671875" style="106" customWidth="1"/>
    <col min="6" max="6" width="2" style="180" customWidth="1"/>
    <col min="7" max="7" width="8" style="180" customWidth="1"/>
    <col min="8" max="8" width="0.88671875" style="106" customWidth="1"/>
    <col min="9" max="10" width="9.33203125" style="180" customWidth="1"/>
    <col min="11" max="11" width="0.88671875" style="106" customWidth="1"/>
    <col min="12" max="13" width="9.33203125" style="180" customWidth="1"/>
    <col min="14" max="14" width="0.88671875" style="106" customWidth="1"/>
    <col min="15" max="16" width="9.33203125" style="106" hidden="1" customWidth="1"/>
    <col min="17" max="17" width="0.88671875" style="106" hidden="1" customWidth="1"/>
    <col min="18" max="19" width="9.33203125" style="106" hidden="1" customWidth="1"/>
    <col min="20" max="20" width="0.88671875" style="106" hidden="1" customWidth="1"/>
    <col min="21" max="23" width="9.33203125" style="180" customWidth="1"/>
    <col min="24" max="16384" width="3.33203125" style="106"/>
  </cols>
  <sheetData>
    <row r="2" spans="5:24" ht="23.4" x14ac:dyDescent="0.45">
      <c r="E2" s="799" t="s">
        <v>746</v>
      </c>
      <c r="F2" s="799"/>
      <c r="G2" s="799"/>
      <c r="H2" s="799"/>
      <c r="I2" s="799"/>
      <c r="J2" s="799"/>
      <c r="K2" s="799"/>
      <c r="L2" s="799"/>
      <c r="M2" s="429"/>
      <c r="N2" s="429"/>
      <c r="O2" s="429"/>
      <c r="P2" s="429"/>
      <c r="Q2" s="429"/>
      <c r="R2" s="429"/>
      <c r="S2" s="429"/>
      <c r="T2" s="429"/>
      <c r="U2" s="429"/>
      <c r="V2" s="429"/>
      <c r="W2" s="429"/>
      <c r="X2" s="429"/>
    </row>
    <row r="3" spans="5:24" ht="15.6" x14ac:dyDescent="0.3">
      <c r="E3" s="800" t="s">
        <v>852</v>
      </c>
      <c r="F3" s="800"/>
      <c r="G3" s="800"/>
      <c r="H3" s="800"/>
      <c r="I3" s="800"/>
      <c r="J3" s="800"/>
      <c r="K3" s="800"/>
      <c r="L3" s="800"/>
      <c r="M3" s="428"/>
      <c r="N3" s="428"/>
      <c r="O3" s="428"/>
      <c r="P3" s="428"/>
      <c r="Q3" s="428"/>
      <c r="R3" s="428"/>
      <c r="S3" s="428"/>
      <c r="T3" s="428"/>
      <c r="U3" s="428"/>
      <c r="V3" s="428"/>
      <c r="W3" s="428"/>
      <c r="X3" s="428"/>
    </row>
    <row r="4" spans="5:24" ht="38.25" customHeight="1" x14ac:dyDescent="0.4">
      <c r="E4" s="801">
        <f>'YEAR 1'!D4</f>
        <v>0</v>
      </c>
      <c r="F4" s="801"/>
      <c r="G4" s="801"/>
      <c r="H4" s="801"/>
      <c r="I4" s="801"/>
      <c r="J4" s="801"/>
      <c r="K4" s="801"/>
      <c r="L4" s="801"/>
      <c r="M4" s="427"/>
      <c r="N4" s="427"/>
      <c r="O4" s="427"/>
      <c r="P4" s="427"/>
      <c r="Q4" s="427"/>
      <c r="R4" s="427"/>
      <c r="S4" s="427"/>
      <c r="T4" s="427"/>
      <c r="U4" s="427"/>
      <c r="V4" s="427"/>
      <c r="W4" s="427"/>
      <c r="X4" s="427"/>
    </row>
    <row r="5" spans="5:24" x14ac:dyDescent="0.3">
      <c r="E5" s="802" t="str">
        <f>"Year One:  "&amp;TEXT(YR1Start,"mmmm dd, yyyy")&amp;" - "&amp;TEXT(YR1End,"mmmm dd, yyyy")</f>
        <v>Year One:  January 00, 1900 - December 30, 1900</v>
      </c>
      <c r="F5" s="802"/>
      <c r="G5" s="802"/>
      <c r="H5" s="802"/>
      <c r="I5" s="802"/>
      <c r="J5" s="802"/>
      <c r="K5" s="802"/>
      <c r="L5" s="802"/>
      <c r="M5" s="106"/>
      <c r="U5" s="106"/>
      <c r="V5" s="106"/>
      <c r="W5" s="106"/>
    </row>
    <row r="6" spans="5:24" s="110" customFormat="1" ht="3" customHeight="1" x14ac:dyDescent="0.3">
      <c r="E6" s="111"/>
      <c r="F6" s="277"/>
      <c r="G6" s="277"/>
      <c r="I6" s="277"/>
      <c r="J6" s="277"/>
      <c r="L6" s="277"/>
      <c r="M6" s="277"/>
      <c r="U6" s="277"/>
      <c r="V6" s="277"/>
      <c r="W6" s="277"/>
    </row>
    <row r="8" spans="5:24" x14ac:dyDescent="0.3">
      <c r="L8" s="419" t="s">
        <v>859</v>
      </c>
    </row>
    <row r="9" spans="5:24" x14ac:dyDescent="0.3">
      <c r="E9" s="153" t="s">
        <v>860</v>
      </c>
      <c r="G9" s="109" t="s">
        <v>22</v>
      </c>
      <c r="L9" s="423"/>
    </row>
    <row r="10" spans="5:24" x14ac:dyDescent="0.3">
      <c r="E10" s="418" t="s">
        <v>861</v>
      </c>
      <c r="G10" s="106" t="s">
        <v>862</v>
      </c>
      <c r="L10" s="419">
        <f>'YEAR 1'!Q13+'YEAR 1'!Q16+'YEAR 1'!Q19+'YEAR 1'!P22+'YEAR 1'!P25+'YEAR 1'!P28+'YEAR 1'!P31+'YEAR 1'!P34+'YEAR 1'!P37+'YEAR 1'!P40+'YEAR 1'!P46+'YEAR 1'!P49+'YEAR 1'!P52+'YEAR 1'!P55+'YEAR 1'!P58+'YEAR 1'!P61+'YEAR 1'!P64</f>
        <v>0</v>
      </c>
    </row>
    <row r="11" spans="5:24" x14ac:dyDescent="0.3">
      <c r="E11" s="418" t="s">
        <v>863</v>
      </c>
      <c r="G11" s="106" t="s">
        <v>668</v>
      </c>
      <c r="L11" s="419">
        <f>'YEAR 1'!Q14+'YEAR 1'!Q17+'YEAR 1'!Q20+'YEAR 1'!Q23+'YEAR 1'!Q26+'YEAR 1'!Q29+'YEAR 1'!Q32+'YEAR 1'!Q35+'YEAR 1'!Q38+'YEAR 1'!Q41+'YEAR 1'!Q47+'YEAR 1'!Q50+'YEAR 1'!Q53+'YEAR 1'!Q56+'YEAR 1'!Q59+'YEAR 1'!Q62+'YEAR 1'!Q65</f>
        <v>0</v>
      </c>
    </row>
    <row r="12" spans="5:24" hidden="1" x14ac:dyDescent="0.3">
      <c r="E12" s="418" t="s">
        <v>864</v>
      </c>
      <c r="G12" s="106" t="s">
        <v>865</v>
      </c>
      <c r="L12" s="419"/>
    </row>
    <row r="13" spans="5:24" x14ac:dyDescent="0.3">
      <c r="E13" s="418" t="s">
        <v>866</v>
      </c>
      <c r="G13" s="106" t="s">
        <v>703</v>
      </c>
      <c r="L13" s="419">
        <f>'YEAR 1'!P103</f>
        <v>0</v>
      </c>
    </row>
    <row r="14" spans="5:24" x14ac:dyDescent="0.3">
      <c r="E14" s="418" t="s">
        <v>867</v>
      </c>
      <c r="G14" s="106" t="s">
        <v>868</v>
      </c>
      <c r="L14" s="419">
        <f>'YEAR 1'!P229+'YEAR 1'!P184+'YEAR 1'!P175+'YEAR 1'!P220+'YEAR 1'!P211+'YEAR 1'!P193+'YEAR 1'!P151</f>
        <v>0</v>
      </c>
    </row>
    <row r="15" spans="5:24" hidden="1" x14ac:dyDescent="0.3">
      <c r="E15" s="418" t="s">
        <v>869</v>
      </c>
      <c r="G15" s="106" t="s">
        <v>870</v>
      </c>
      <c r="L15" s="419"/>
    </row>
    <row r="16" spans="5:24" x14ac:dyDescent="0.3">
      <c r="E16" s="418" t="s">
        <v>871</v>
      </c>
      <c r="G16" s="106" t="s">
        <v>872</v>
      </c>
      <c r="L16" s="419">
        <f>'YEAR 1'!P166</f>
        <v>0</v>
      </c>
    </row>
    <row r="17" spans="5:12" hidden="1" x14ac:dyDescent="0.3">
      <c r="E17" s="418" t="s">
        <v>873</v>
      </c>
      <c r="G17" s="106" t="s">
        <v>874</v>
      </c>
      <c r="L17" s="419"/>
    </row>
    <row r="18" spans="5:12" x14ac:dyDescent="0.3">
      <c r="E18" s="418" t="s">
        <v>875</v>
      </c>
      <c r="G18" s="106" t="s">
        <v>822</v>
      </c>
      <c r="L18" s="419">
        <f>'YEAR 1'!P202</f>
        <v>0</v>
      </c>
    </row>
    <row r="19" spans="5:12" x14ac:dyDescent="0.3">
      <c r="E19" s="418" t="s">
        <v>876</v>
      </c>
      <c r="G19" s="106" t="s">
        <v>829</v>
      </c>
      <c r="L19" s="419">
        <f>'YEAR 1'!P225+'YEAR 1'!P226+'YEAR 1'!P227</f>
        <v>0</v>
      </c>
    </row>
    <row r="20" spans="5:12" x14ac:dyDescent="0.3">
      <c r="E20" s="418" t="s">
        <v>877</v>
      </c>
      <c r="G20" s="106" t="s">
        <v>878</v>
      </c>
      <c r="L20" s="419">
        <f>'YEAR 1'!P76</f>
        <v>0</v>
      </c>
    </row>
    <row r="21" spans="5:12" x14ac:dyDescent="0.3">
      <c r="E21" s="418" t="s">
        <v>879</v>
      </c>
      <c r="G21" s="106" t="s">
        <v>683</v>
      </c>
      <c r="L21" s="419">
        <f>'YEAR 1'!P251</f>
        <v>0</v>
      </c>
    </row>
    <row r="22" spans="5:12" ht="6" customHeight="1" x14ac:dyDescent="0.3">
      <c r="E22" s="424"/>
      <c r="G22" s="134"/>
      <c r="L22" s="425"/>
    </row>
    <row r="23" spans="5:12" x14ac:dyDescent="0.3">
      <c r="E23" s="117" t="s">
        <v>858</v>
      </c>
      <c r="G23" s="106" t="s">
        <v>880</v>
      </c>
      <c r="L23" s="419">
        <f>SUM(L10:L21)</f>
        <v>0</v>
      </c>
    </row>
    <row r="24" spans="5:12" x14ac:dyDescent="0.3">
      <c r="E24" s="117"/>
      <c r="G24" s="106"/>
      <c r="L24" s="419"/>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2:X24"/>
  <sheetViews>
    <sheetView zoomScaleNormal="100" workbookViewId="0">
      <selection activeCell="J28" sqref="J28"/>
    </sheetView>
  </sheetViews>
  <sheetFormatPr defaultColWidth="3.33203125" defaultRowHeight="13.8" x14ac:dyDescent="0.3"/>
  <cols>
    <col min="1" max="3" width="3.33203125" style="106" customWidth="1"/>
    <col min="4" max="4" width="1.77734375" style="106" customWidth="1"/>
    <col min="5" max="5" width="21.88671875" style="106" customWidth="1"/>
    <col min="6" max="6" width="2" style="180" customWidth="1"/>
    <col min="7" max="7" width="8" style="180" customWidth="1"/>
    <col min="8" max="8" width="0.88671875" style="106" customWidth="1"/>
    <col min="9" max="10" width="9.33203125" style="180" customWidth="1"/>
    <col min="11" max="11" width="0.88671875" style="106" customWidth="1"/>
    <col min="12" max="13" width="9.33203125" style="180" customWidth="1"/>
    <col min="14" max="14" width="0.88671875" style="106" customWidth="1"/>
    <col min="15" max="16" width="9.33203125" style="106" hidden="1" customWidth="1"/>
    <col min="17" max="17" width="0.88671875" style="106" hidden="1" customWidth="1"/>
    <col min="18" max="19" width="9.33203125" style="106" hidden="1" customWidth="1"/>
    <col min="20" max="20" width="0.88671875" style="106" hidden="1" customWidth="1"/>
    <col min="21" max="23" width="9.33203125" style="180" customWidth="1"/>
    <col min="24" max="16384" width="3.33203125" style="106"/>
  </cols>
  <sheetData>
    <row r="2" spans="5:24" ht="23.4" x14ac:dyDescent="0.45">
      <c r="E2" s="799" t="s">
        <v>746</v>
      </c>
      <c r="F2" s="799"/>
      <c r="G2" s="799"/>
      <c r="H2" s="799"/>
      <c r="I2" s="799"/>
      <c r="J2" s="799"/>
      <c r="K2" s="799"/>
      <c r="L2" s="799"/>
      <c r="M2" s="429"/>
      <c r="N2" s="429"/>
      <c r="O2" s="429"/>
      <c r="P2" s="429"/>
      <c r="Q2" s="429"/>
      <c r="R2" s="429"/>
      <c r="S2" s="429"/>
      <c r="T2" s="429"/>
      <c r="U2" s="429"/>
      <c r="V2" s="429"/>
      <c r="W2" s="429"/>
      <c r="X2" s="429"/>
    </row>
    <row r="3" spans="5:24" ht="15.6" x14ac:dyDescent="0.3">
      <c r="E3" s="800" t="s">
        <v>852</v>
      </c>
      <c r="F3" s="800"/>
      <c r="G3" s="800"/>
      <c r="H3" s="800"/>
      <c r="I3" s="800"/>
      <c r="J3" s="800"/>
      <c r="K3" s="800"/>
      <c r="L3" s="800"/>
      <c r="M3" s="428"/>
      <c r="N3" s="428"/>
      <c r="O3" s="428"/>
      <c r="P3" s="428"/>
      <c r="Q3" s="428"/>
      <c r="R3" s="428"/>
      <c r="S3" s="428"/>
      <c r="T3" s="428"/>
      <c r="U3" s="428"/>
      <c r="V3" s="428"/>
      <c r="W3" s="428"/>
      <c r="X3" s="428"/>
    </row>
    <row r="4" spans="5:24" ht="56.25" customHeight="1" x14ac:dyDescent="0.4">
      <c r="E4" s="801">
        <f>'YEAR 2'!D4</f>
        <v>0</v>
      </c>
      <c r="F4" s="801"/>
      <c r="G4" s="801"/>
      <c r="H4" s="801"/>
      <c r="I4" s="801"/>
      <c r="J4" s="801"/>
      <c r="K4" s="801"/>
      <c r="L4" s="801"/>
      <c r="M4" s="427"/>
      <c r="N4" s="427"/>
      <c r="O4" s="427"/>
      <c r="P4" s="427"/>
      <c r="Q4" s="427"/>
      <c r="R4" s="427"/>
      <c r="S4" s="427"/>
      <c r="T4" s="427"/>
      <c r="U4" s="427"/>
      <c r="V4" s="427"/>
      <c r="W4" s="427"/>
      <c r="X4" s="427"/>
    </row>
    <row r="5" spans="5:24" x14ac:dyDescent="0.3">
      <c r="E5" s="802" t="str">
        <f>"Year Two:  "&amp;TEXT(YR2Start,"mmmm dd, yyyy")&amp;" - "&amp;TEXT(YR2End,"mmmm dd, yyyy")</f>
        <v>Year Two:  December 31, 1900 - December 30, 1901</v>
      </c>
      <c r="F5" s="802"/>
      <c r="G5" s="802"/>
      <c r="H5" s="802"/>
      <c r="I5" s="802"/>
      <c r="J5" s="802"/>
      <c r="K5" s="802"/>
      <c r="L5" s="802"/>
      <c r="M5" s="106"/>
      <c r="U5" s="106"/>
      <c r="V5" s="106"/>
      <c r="W5" s="106"/>
    </row>
    <row r="6" spans="5:24" s="110" customFormat="1" ht="3" customHeight="1" x14ac:dyDescent="0.3">
      <c r="E6" s="111"/>
      <c r="F6" s="277"/>
      <c r="G6" s="277"/>
      <c r="I6" s="277"/>
      <c r="J6" s="277"/>
      <c r="L6" s="277"/>
      <c r="M6" s="277"/>
      <c r="U6" s="277"/>
      <c r="V6" s="277"/>
      <c r="W6" s="277"/>
    </row>
    <row r="8" spans="5:24" x14ac:dyDescent="0.3">
      <c r="L8" s="419" t="s">
        <v>881</v>
      </c>
    </row>
    <row r="9" spans="5:24" x14ac:dyDescent="0.3">
      <c r="E9" s="153" t="s">
        <v>860</v>
      </c>
      <c r="G9" s="109" t="s">
        <v>22</v>
      </c>
      <c r="L9" s="423"/>
    </row>
    <row r="10" spans="5:24" x14ac:dyDescent="0.3">
      <c r="E10" s="418" t="s">
        <v>861</v>
      </c>
      <c r="G10" s="106" t="s">
        <v>862</v>
      </c>
      <c r="L10" s="419">
        <f>'YEAR 2'!P13+'YEAR 2'!P16+'YEAR 2'!P19+'YEAR 2'!P22+'YEAR 2'!P25+'YEAR 2'!P28+'YEAR 2'!P31+'YEAR 2'!P34+'YEAR 2'!P37+'YEAR 2'!P40+'YEAR 2'!P46+'YEAR 2'!P49+'YEAR 2'!P52+'YEAR 2'!P55+'YEAR 2'!P58+'YEAR 2'!P61+'YEAR 2'!P64</f>
        <v>0</v>
      </c>
    </row>
    <row r="11" spans="5:24" x14ac:dyDescent="0.3">
      <c r="E11" s="418" t="s">
        <v>863</v>
      </c>
      <c r="G11" s="106" t="s">
        <v>668</v>
      </c>
      <c r="L11" s="419">
        <f>'YEAR 2'!Q14+'YEAR 2'!Q17+'YEAR 2'!Q20+'YEAR 2'!Q23+'YEAR 2'!Q26+'YEAR 2'!Q29+'YEAR 2'!Q32+'YEAR 2'!Q35+'YEAR 2'!Q38+'YEAR 2'!Q41+'YEAR 2'!Q47+'YEAR 2'!Q50+'YEAR 2'!Q53+'YEAR 2'!Q56+'YEAR 2'!Q59+'YEAR 2'!Q62+'YEAR 2'!Q65</f>
        <v>0</v>
      </c>
    </row>
    <row r="12" spans="5:24" hidden="1" x14ac:dyDescent="0.3">
      <c r="E12" s="418" t="s">
        <v>864</v>
      </c>
      <c r="G12" s="106" t="s">
        <v>865</v>
      </c>
      <c r="L12" s="419"/>
    </row>
    <row r="13" spans="5:24" x14ac:dyDescent="0.3">
      <c r="E13" s="418" t="s">
        <v>866</v>
      </c>
      <c r="G13" s="106" t="s">
        <v>703</v>
      </c>
      <c r="L13" s="419">
        <f>'YEAR 2'!P103</f>
        <v>0</v>
      </c>
    </row>
    <row r="14" spans="5:24" x14ac:dyDescent="0.3">
      <c r="E14" s="418" t="s">
        <v>867</v>
      </c>
      <c r="G14" s="106" t="s">
        <v>868</v>
      </c>
      <c r="L14" s="419">
        <f>'YEAR 2'!P151+'YEAR 2'!P175+'YEAR 2'!P184+'YEAR 2'!P193+'YEAR 2'!P211+'YEAR 2'!P220+'YEAR 2'!P229</f>
        <v>0</v>
      </c>
    </row>
    <row r="15" spans="5:24" hidden="1" x14ac:dyDescent="0.3">
      <c r="E15" s="418" t="s">
        <v>869</v>
      </c>
      <c r="G15" s="106" t="s">
        <v>870</v>
      </c>
      <c r="L15" s="419"/>
    </row>
    <row r="16" spans="5:24" x14ac:dyDescent="0.3">
      <c r="E16" s="418" t="s">
        <v>871</v>
      </c>
      <c r="G16" s="106" t="s">
        <v>872</v>
      </c>
      <c r="L16" s="419">
        <f>'YEAR 2'!P166</f>
        <v>0</v>
      </c>
    </row>
    <row r="17" spans="5:12" x14ac:dyDescent="0.3">
      <c r="E17" s="418" t="s">
        <v>873</v>
      </c>
      <c r="G17" s="106" t="s">
        <v>874</v>
      </c>
      <c r="L17" s="419"/>
    </row>
    <row r="18" spans="5:12" x14ac:dyDescent="0.3">
      <c r="E18" s="418" t="s">
        <v>875</v>
      </c>
      <c r="G18" s="106" t="s">
        <v>822</v>
      </c>
      <c r="L18" s="419">
        <f>'YEAR 2'!P202</f>
        <v>0</v>
      </c>
    </row>
    <row r="19" spans="5:12" x14ac:dyDescent="0.3">
      <c r="E19" s="418" t="s">
        <v>876</v>
      </c>
      <c r="G19" s="106" t="s">
        <v>829</v>
      </c>
      <c r="L19" s="419">
        <f>'YEAR 2'!P225+'YEAR 2'!P226+'YEAR 2'!P227</f>
        <v>0</v>
      </c>
    </row>
    <row r="20" spans="5:12" x14ac:dyDescent="0.3">
      <c r="E20" s="418" t="s">
        <v>877</v>
      </c>
      <c r="G20" s="106" t="s">
        <v>878</v>
      </c>
      <c r="L20" s="419">
        <f>'YEAR 2'!P76</f>
        <v>0</v>
      </c>
    </row>
    <row r="21" spans="5:12" x14ac:dyDescent="0.3">
      <c r="E21" s="418" t="s">
        <v>879</v>
      </c>
      <c r="G21" s="106" t="s">
        <v>683</v>
      </c>
      <c r="L21" s="419">
        <f>'YEAR 2'!P251</f>
        <v>0</v>
      </c>
    </row>
    <row r="22" spans="5:12" ht="6" customHeight="1" x14ac:dyDescent="0.3">
      <c r="E22" s="424"/>
      <c r="G22" s="134"/>
      <c r="L22" s="425"/>
    </row>
    <row r="23" spans="5:12" x14ac:dyDescent="0.3">
      <c r="E23" s="117" t="s">
        <v>858</v>
      </c>
      <c r="G23" s="106" t="s">
        <v>880</v>
      </c>
      <c r="L23" s="419">
        <f>SUM(L10:L21)</f>
        <v>0</v>
      </c>
    </row>
    <row r="24" spans="5:12" x14ac:dyDescent="0.3">
      <c r="E24" s="117"/>
      <c r="G24" s="106"/>
      <c r="L24" s="419"/>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&amp;L&amp;"Calibri,Regular"&amp;8&amp;F/&amp;A&amp;C&amp;"Calibri,Regular"&amp;9Page &amp;P of &amp;N&amp;R&amp;"Calibri,Regular"&amp;9&amp;D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2:X24"/>
  <sheetViews>
    <sheetView zoomScaleNormal="100" workbookViewId="0">
      <selection activeCell="J28" sqref="J28"/>
    </sheetView>
  </sheetViews>
  <sheetFormatPr defaultColWidth="3.33203125" defaultRowHeight="13.8" x14ac:dyDescent="0.3"/>
  <cols>
    <col min="1" max="3" width="3.33203125" style="106" customWidth="1"/>
    <col min="4" max="4" width="1.77734375" style="106" customWidth="1"/>
    <col min="5" max="5" width="21.88671875" style="106" customWidth="1"/>
    <col min="6" max="6" width="2" style="180" customWidth="1"/>
    <col min="7" max="7" width="8" style="180" customWidth="1"/>
    <col min="8" max="8" width="0.88671875" style="106" customWidth="1"/>
    <col min="9" max="10" width="9.33203125" style="180" customWidth="1"/>
    <col min="11" max="11" width="0.88671875" style="106" customWidth="1"/>
    <col min="12" max="13" width="9.33203125" style="180" customWidth="1"/>
    <col min="14" max="14" width="0.88671875" style="106" customWidth="1"/>
    <col min="15" max="16" width="9.33203125" style="106" hidden="1" customWidth="1"/>
    <col min="17" max="17" width="0.88671875" style="106" hidden="1" customWidth="1"/>
    <col min="18" max="19" width="9.33203125" style="106" hidden="1" customWidth="1"/>
    <col min="20" max="20" width="0.88671875" style="106" hidden="1" customWidth="1"/>
    <col min="21" max="23" width="9.33203125" style="180" customWidth="1"/>
    <col min="24" max="16384" width="3.33203125" style="106"/>
  </cols>
  <sheetData>
    <row r="2" spans="5:24" ht="23.4" x14ac:dyDescent="0.45">
      <c r="E2" s="799" t="s">
        <v>746</v>
      </c>
      <c r="F2" s="799"/>
      <c r="G2" s="799"/>
      <c r="H2" s="799"/>
      <c r="I2" s="799"/>
      <c r="J2" s="799"/>
      <c r="K2" s="799"/>
      <c r="L2" s="799"/>
      <c r="M2" s="429"/>
      <c r="N2" s="429"/>
      <c r="O2" s="429"/>
      <c r="P2" s="429"/>
      <c r="Q2" s="429"/>
      <c r="R2" s="429"/>
      <c r="S2" s="429"/>
      <c r="T2" s="429"/>
      <c r="U2" s="429"/>
      <c r="V2" s="429"/>
      <c r="W2" s="429"/>
      <c r="X2" s="429"/>
    </row>
    <row r="3" spans="5:24" ht="15.6" x14ac:dyDescent="0.3">
      <c r="E3" s="800" t="s">
        <v>852</v>
      </c>
      <c r="F3" s="800"/>
      <c r="G3" s="800"/>
      <c r="H3" s="800"/>
      <c r="I3" s="800"/>
      <c r="J3" s="800"/>
      <c r="K3" s="800"/>
      <c r="L3" s="800"/>
      <c r="M3" s="428"/>
      <c r="N3" s="428"/>
      <c r="O3" s="428"/>
      <c r="P3" s="428"/>
      <c r="Q3" s="428"/>
      <c r="R3" s="428"/>
      <c r="S3" s="428"/>
      <c r="T3" s="428"/>
      <c r="U3" s="428"/>
      <c r="V3" s="428"/>
      <c r="W3" s="428"/>
      <c r="X3" s="428"/>
    </row>
    <row r="4" spans="5:24" ht="50.25" customHeight="1" x14ac:dyDescent="0.4">
      <c r="E4" s="801">
        <f>'YEAR 3'!D4</f>
        <v>0</v>
      </c>
      <c r="F4" s="801"/>
      <c r="G4" s="801"/>
      <c r="H4" s="801"/>
      <c r="I4" s="801"/>
      <c r="J4" s="801"/>
      <c r="K4" s="801"/>
      <c r="L4" s="801"/>
      <c r="M4" s="427"/>
      <c r="N4" s="427"/>
      <c r="O4" s="427"/>
      <c r="P4" s="427"/>
      <c r="Q4" s="427"/>
      <c r="R4" s="427"/>
      <c r="S4" s="427"/>
      <c r="T4" s="427"/>
      <c r="U4" s="427"/>
      <c r="V4" s="427"/>
      <c r="W4" s="427"/>
      <c r="X4" s="427"/>
    </row>
    <row r="5" spans="5:24" x14ac:dyDescent="0.3">
      <c r="E5" s="802" t="str">
        <f>"Year Three:  "&amp;TEXT(YR3Start,"mmmm dd, yyyy")&amp;" - "&amp;TEXT(YR3End,"mmmm dd, yyyy")</f>
        <v>Year Three:  December 31, 1901 - December 30, 1902</v>
      </c>
      <c r="F5" s="802"/>
      <c r="G5" s="802"/>
      <c r="H5" s="802"/>
      <c r="I5" s="802"/>
      <c r="J5" s="802"/>
      <c r="K5" s="802"/>
      <c r="L5" s="802"/>
      <c r="M5" s="106"/>
      <c r="U5" s="106"/>
      <c r="V5" s="106"/>
      <c r="W5" s="106"/>
    </row>
    <row r="6" spans="5:24" s="110" customFormat="1" ht="3" customHeight="1" x14ac:dyDescent="0.3">
      <c r="E6" s="111"/>
      <c r="F6" s="277"/>
      <c r="G6" s="277"/>
      <c r="I6" s="277"/>
      <c r="J6" s="277"/>
      <c r="L6" s="277"/>
      <c r="M6" s="277"/>
      <c r="U6" s="277"/>
      <c r="V6" s="277"/>
      <c r="W6" s="277"/>
    </row>
    <row r="8" spans="5:24" x14ac:dyDescent="0.3">
      <c r="L8" s="419" t="s">
        <v>882</v>
      </c>
    </row>
    <row r="9" spans="5:24" x14ac:dyDescent="0.3">
      <c r="E9" s="153" t="s">
        <v>860</v>
      </c>
      <c r="G9" s="109" t="s">
        <v>22</v>
      </c>
      <c r="L9" s="423"/>
    </row>
    <row r="10" spans="5:24" x14ac:dyDescent="0.3">
      <c r="E10" s="418" t="s">
        <v>861</v>
      </c>
      <c r="G10" s="106" t="s">
        <v>862</v>
      </c>
      <c r="L10" s="419">
        <f>'YEAR 3'!P13+'YEAR 3'!P16+'YEAR 3'!P19+'YEAR 3'!P22+'YEAR 3'!P25+'YEAR 3'!P28+'YEAR 3'!P31+'YEAR 3'!P34+'YEAR 3'!P37+'YEAR 3'!P40+'YEAR 3'!P46+'YEAR 3'!P49+'YEAR 3'!P52+'YEAR 3'!P55+'YEAR 3'!P58+'YEAR 3'!P61+'YEAR 3'!P64</f>
        <v>0</v>
      </c>
    </row>
    <row r="11" spans="5:24" x14ac:dyDescent="0.3">
      <c r="E11" s="418" t="s">
        <v>863</v>
      </c>
      <c r="G11" s="106" t="s">
        <v>668</v>
      </c>
      <c r="L11" s="419">
        <f>'YEAR 3'!BC67</f>
        <v>0</v>
      </c>
    </row>
    <row r="12" spans="5:24" hidden="1" x14ac:dyDescent="0.3">
      <c r="E12" s="418" t="s">
        <v>864</v>
      </c>
      <c r="G12" s="106" t="s">
        <v>865</v>
      </c>
      <c r="L12" s="419"/>
    </row>
    <row r="13" spans="5:24" x14ac:dyDescent="0.3">
      <c r="E13" s="418" t="s">
        <v>866</v>
      </c>
      <c r="G13" s="106" t="s">
        <v>703</v>
      </c>
      <c r="L13" s="419">
        <f>'YEAR 3'!P103</f>
        <v>0</v>
      </c>
    </row>
    <row r="14" spans="5:24" x14ac:dyDescent="0.3">
      <c r="E14" s="418" t="s">
        <v>867</v>
      </c>
      <c r="G14" s="106" t="s">
        <v>868</v>
      </c>
      <c r="L14" s="419">
        <f>'YEAR 3'!P220+'YEAR 3'!P211+'YEAR 3'!P193+'YEAR 3'!P184+'YEAR 3'!P175</f>
        <v>0</v>
      </c>
    </row>
    <row r="15" spans="5:24" hidden="1" x14ac:dyDescent="0.3">
      <c r="E15" s="418" t="s">
        <v>869</v>
      </c>
      <c r="G15" s="106" t="s">
        <v>870</v>
      </c>
      <c r="L15" s="419"/>
    </row>
    <row r="16" spans="5:24" x14ac:dyDescent="0.3">
      <c r="E16" s="418" t="s">
        <v>871</v>
      </c>
      <c r="G16" s="106" t="s">
        <v>872</v>
      </c>
      <c r="L16" s="419">
        <f>'YEAR 3'!P166</f>
        <v>0</v>
      </c>
    </row>
    <row r="17" spans="5:12" hidden="1" x14ac:dyDescent="0.3">
      <c r="E17" s="418" t="s">
        <v>873</v>
      </c>
      <c r="G17" s="106" t="s">
        <v>874</v>
      </c>
      <c r="L17" s="419"/>
    </row>
    <row r="18" spans="5:12" x14ac:dyDescent="0.3">
      <c r="E18" s="418" t="s">
        <v>875</v>
      </c>
      <c r="G18" s="106" t="s">
        <v>822</v>
      </c>
      <c r="L18" s="419">
        <f>'YEAR 3'!P202</f>
        <v>0</v>
      </c>
    </row>
    <row r="19" spans="5:12" x14ac:dyDescent="0.3">
      <c r="E19" s="418" t="s">
        <v>876</v>
      </c>
      <c r="G19" s="106" t="s">
        <v>829</v>
      </c>
      <c r="L19" s="419">
        <f>'YEAR 3'!P225+'YEAR 3'!P226+'YEAR 3'!P227</f>
        <v>0</v>
      </c>
    </row>
    <row r="20" spans="5:12" x14ac:dyDescent="0.3">
      <c r="E20" s="418" t="s">
        <v>877</v>
      </c>
      <c r="G20" s="106" t="s">
        <v>878</v>
      </c>
      <c r="L20" s="419">
        <f>'YEAR 3'!P76</f>
        <v>0</v>
      </c>
    </row>
    <row r="21" spans="5:12" x14ac:dyDescent="0.3">
      <c r="E21" s="418" t="s">
        <v>879</v>
      </c>
      <c r="G21" s="106" t="s">
        <v>683</v>
      </c>
      <c r="L21" s="419">
        <f>'YEAR 3'!P251</f>
        <v>0</v>
      </c>
    </row>
    <row r="22" spans="5:12" ht="5.25" customHeight="1" x14ac:dyDescent="0.3">
      <c r="E22" s="424"/>
      <c r="G22" s="134"/>
      <c r="L22" s="425"/>
    </row>
    <row r="23" spans="5:12" x14ac:dyDescent="0.3">
      <c r="E23" s="117" t="s">
        <v>858</v>
      </c>
      <c r="G23" s="106" t="s">
        <v>880</v>
      </c>
      <c r="L23" s="419">
        <f>SUM(L10:L21)</f>
        <v>0</v>
      </c>
    </row>
    <row r="24" spans="5:12" x14ac:dyDescent="0.3">
      <c r="E24" s="117"/>
      <c r="G24" s="106"/>
      <c r="L24" s="419"/>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2:X24"/>
  <sheetViews>
    <sheetView zoomScaleNormal="100" workbookViewId="0">
      <selection activeCell="J28" sqref="J28"/>
    </sheetView>
  </sheetViews>
  <sheetFormatPr defaultColWidth="3.33203125" defaultRowHeight="13.8" x14ac:dyDescent="0.3"/>
  <cols>
    <col min="1" max="3" width="3.33203125" style="106" customWidth="1"/>
    <col min="4" max="4" width="1.77734375" style="106" customWidth="1"/>
    <col min="5" max="5" width="21.88671875" style="106" customWidth="1"/>
    <col min="6" max="6" width="2" style="180" customWidth="1"/>
    <col min="7" max="7" width="8" style="180" customWidth="1"/>
    <col min="8" max="8" width="0.88671875" style="106" customWidth="1"/>
    <col min="9" max="10" width="9.33203125" style="180" customWidth="1"/>
    <col min="11" max="11" width="0.88671875" style="106" customWidth="1"/>
    <col min="12" max="13" width="9.33203125" style="180" customWidth="1"/>
    <col min="14" max="14" width="0.88671875" style="106" customWidth="1"/>
    <col min="15" max="16" width="9.33203125" style="106" hidden="1" customWidth="1"/>
    <col min="17" max="17" width="0.88671875" style="106" hidden="1" customWidth="1"/>
    <col min="18" max="19" width="9.33203125" style="106" hidden="1" customWidth="1"/>
    <col min="20" max="20" width="0.88671875" style="106" hidden="1" customWidth="1"/>
    <col min="21" max="23" width="9.33203125" style="180" customWidth="1"/>
    <col min="24" max="16384" width="3.33203125" style="106"/>
  </cols>
  <sheetData>
    <row r="2" spans="5:24" ht="23.4" x14ac:dyDescent="0.45">
      <c r="E2" s="799" t="s">
        <v>746</v>
      </c>
      <c r="F2" s="799"/>
      <c r="G2" s="799"/>
      <c r="H2" s="799"/>
      <c r="I2" s="799"/>
      <c r="J2" s="799"/>
      <c r="K2" s="799"/>
      <c r="L2" s="799"/>
      <c r="M2" s="429"/>
      <c r="N2" s="429"/>
      <c r="O2" s="429"/>
      <c r="P2" s="429"/>
      <c r="Q2" s="429"/>
      <c r="R2" s="429"/>
      <c r="S2" s="429"/>
      <c r="T2" s="429"/>
      <c r="U2" s="429"/>
      <c r="V2" s="429"/>
      <c r="W2" s="429"/>
      <c r="X2" s="429"/>
    </row>
    <row r="3" spans="5:24" ht="15.6" x14ac:dyDescent="0.3">
      <c r="E3" s="800" t="s">
        <v>852</v>
      </c>
      <c r="F3" s="800"/>
      <c r="G3" s="800"/>
      <c r="H3" s="800"/>
      <c r="I3" s="800"/>
      <c r="J3" s="800"/>
      <c r="K3" s="800"/>
      <c r="L3" s="800"/>
      <c r="M3" s="428"/>
      <c r="N3" s="428"/>
      <c r="O3" s="428"/>
      <c r="P3" s="428"/>
      <c r="Q3" s="428"/>
      <c r="R3" s="428"/>
      <c r="S3" s="428"/>
      <c r="T3" s="428"/>
      <c r="U3" s="428"/>
      <c r="V3" s="428"/>
      <c r="W3" s="428"/>
      <c r="X3" s="428"/>
    </row>
    <row r="4" spans="5:24" ht="53.25" customHeight="1" x14ac:dyDescent="0.4">
      <c r="E4" s="801">
        <f>'YEAR 4'!D4</f>
        <v>0</v>
      </c>
      <c r="F4" s="801"/>
      <c r="G4" s="801"/>
      <c r="H4" s="801"/>
      <c r="I4" s="801"/>
      <c r="J4" s="801"/>
      <c r="K4" s="801"/>
      <c r="L4" s="801"/>
      <c r="M4" s="427"/>
      <c r="N4" s="427"/>
      <c r="O4" s="427"/>
      <c r="P4" s="427"/>
      <c r="Q4" s="427"/>
      <c r="R4" s="427"/>
      <c r="S4" s="427"/>
      <c r="T4" s="427"/>
      <c r="U4" s="427"/>
      <c r="V4" s="427"/>
      <c r="W4" s="427"/>
      <c r="X4" s="427"/>
    </row>
    <row r="5" spans="5:24" x14ac:dyDescent="0.3">
      <c r="E5" s="802" t="str">
        <f>"Year Four:  "&amp;TEXT(YR4Start,"mmmm dd, yyyy")&amp;" - "&amp;TEXT(YR4End,"mmmm dd, yyyy")</f>
        <v>Year Four:  December 31, 1902 - December 30, 1903</v>
      </c>
      <c r="F5" s="802"/>
      <c r="G5" s="802"/>
      <c r="H5" s="802"/>
      <c r="I5" s="802"/>
      <c r="J5" s="802"/>
      <c r="K5" s="802"/>
      <c r="L5" s="802"/>
      <c r="M5" s="106"/>
      <c r="U5" s="106"/>
      <c r="V5" s="106"/>
      <c r="W5" s="106"/>
    </row>
    <row r="6" spans="5:24" s="110" customFormat="1" ht="3" customHeight="1" x14ac:dyDescent="0.3">
      <c r="E6" s="111"/>
      <c r="F6" s="277"/>
      <c r="G6" s="277"/>
      <c r="I6" s="277"/>
      <c r="J6" s="277"/>
      <c r="L6" s="277"/>
      <c r="M6" s="277"/>
      <c r="U6" s="277"/>
      <c r="V6" s="277"/>
      <c r="W6" s="277"/>
    </row>
    <row r="8" spans="5:24" x14ac:dyDescent="0.3">
      <c r="L8" s="419" t="s">
        <v>883</v>
      </c>
    </row>
    <row r="9" spans="5:24" x14ac:dyDescent="0.3">
      <c r="E9" s="153" t="s">
        <v>860</v>
      </c>
      <c r="G9" s="109" t="s">
        <v>22</v>
      </c>
      <c r="L9" s="423"/>
    </row>
    <row r="10" spans="5:24" x14ac:dyDescent="0.3">
      <c r="E10" s="418" t="s">
        <v>861</v>
      </c>
      <c r="G10" s="106" t="s">
        <v>862</v>
      </c>
      <c r="L10" s="419">
        <f>'YEAR 4'!P13+'YEAR 4'!P16+'YEAR 4'!P19+'YEAR 4'!P22+'YEAR 4'!P25+'YEAR 4'!P28+'YEAR 4'!P31+'YEAR 4'!P34+'YEAR 4'!P37+'YEAR 4'!P40+'YEAR 4'!P46+'YEAR 4'!P49+'YEAR 4'!P52+'YEAR 4'!P55+'YEAR 4'!P58+'YEAR 4'!P61+'YEAR 4'!P64</f>
        <v>0</v>
      </c>
    </row>
    <row r="11" spans="5:24" x14ac:dyDescent="0.3">
      <c r="E11" s="418" t="s">
        <v>863</v>
      </c>
      <c r="G11" s="106" t="s">
        <v>668</v>
      </c>
      <c r="L11" s="419">
        <f>'YEAR 4'!Q14+'YEAR 4'!Q17+'YEAR 4'!Q20+'YEAR 4'!Q23+'YEAR 4'!Q26+'YEAR 4'!Q29+'YEAR 4'!Q32+'YEAR 4'!Q35+'YEAR 4'!Q38+'YEAR 4'!Q41+'YEAR 4'!Q47+'YEAR 4'!Q50+'YEAR 4'!Q53+'YEAR 4'!Q56+'YEAR 4'!Q59+'YEAR 4'!Q62+'YEAR 4'!Q65</f>
        <v>0</v>
      </c>
    </row>
    <row r="12" spans="5:24" hidden="1" x14ac:dyDescent="0.3">
      <c r="E12" s="418" t="s">
        <v>864</v>
      </c>
      <c r="G12" s="106" t="s">
        <v>865</v>
      </c>
      <c r="L12" s="419"/>
    </row>
    <row r="13" spans="5:24" x14ac:dyDescent="0.3">
      <c r="E13" s="418" t="s">
        <v>866</v>
      </c>
      <c r="G13" s="106" t="s">
        <v>703</v>
      </c>
      <c r="L13" s="419">
        <f>'YEAR 4'!P103</f>
        <v>0</v>
      </c>
    </row>
    <row r="14" spans="5:24" x14ac:dyDescent="0.3">
      <c r="E14" s="418" t="s">
        <v>867</v>
      </c>
      <c r="G14" s="106" t="s">
        <v>868</v>
      </c>
      <c r="L14" s="419">
        <f>'YEAR 4'!P175+'YEAR 4'!P184+'YEAR 4'!P193+'YEAR 4'!P211+'YEAR 4'!P220+'YEAR 4'!P229</f>
        <v>0</v>
      </c>
    </row>
    <row r="15" spans="5:24" hidden="1" x14ac:dyDescent="0.3">
      <c r="E15" s="418" t="s">
        <v>869</v>
      </c>
      <c r="G15" s="106" t="s">
        <v>870</v>
      </c>
      <c r="L15" s="419"/>
    </row>
    <row r="16" spans="5:24" x14ac:dyDescent="0.3">
      <c r="E16" s="418" t="s">
        <v>871</v>
      </c>
      <c r="G16" s="106" t="s">
        <v>872</v>
      </c>
      <c r="L16" s="419">
        <f>'YEAR 4'!P166</f>
        <v>0</v>
      </c>
    </row>
    <row r="17" spans="5:12" hidden="1" x14ac:dyDescent="0.3">
      <c r="E17" s="418" t="s">
        <v>873</v>
      </c>
      <c r="G17" s="106" t="s">
        <v>874</v>
      </c>
      <c r="L17" s="419"/>
    </row>
    <row r="18" spans="5:12" x14ac:dyDescent="0.3">
      <c r="E18" s="418" t="s">
        <v>875</v>
      </c>
      <c r="G18" s="106" t="s">
        <v>822</v>
      </c>
      <c r="L18" s="419">
        <f>'YEAR 4'!P202</f>
        <v>0</v>
      </c>
    </row>
    <row r="19" spans="5:12" x14ac:dyDescent="0.3">
      <c r="E19" s="418" t="s">
        <v>876</v>
      </c>
      <c r="G19" s="106" t="s">
        <v>829</v>
      </c>
      <c r="L19" s="419">
        <f>'YEAR 4'!P225+'YEAR 4'!P226+'YEAR 4'!P227</f>
        <v>0</v>
      </c>
    </row>
    <row r="20" spans="5:12" x14ac:dyDescent="0.3">
      <c r="E20" s="418" t="s">
        <v>877</v>
      </c>
      <c r="G20" s="106" t="s">
        <v>878</v>
      </c>
      <c r="L20" s="419">
        <f>'YEAR 4'!P76</f>
        <v>0</v>
      </c>
    </row>
    <row r="21" spans="5:12" x14ac:dyDescent="0.3">
      <c r="E21" s="418" t="s">
        <v>879</v>
      </c>
      <c r="G21" s="106" t="s">
        <v>683</v>
      </c>
      <c r="L21" s="419">
        <f>'YEAR 4'!P251</f>
        <v>0</v>
      </c>
    </row>
    <row r="22" spans="5:12" ht="5.25" customHeight="1" x14ac:dyDescent="0.3">
      <c r="E22" s="424"/>
      <c r="G22" s="134"/>
      <c r="L22" s="425"/>
    </row>
    <row r="23" spans="5:12" x14ac:dyDescent="0.3">
      <c r="E23" s="117" t="s">
        <v>858</v>
      </c>
      <c r="G23" s="106" t="s">
        <v>880</v>
      </c>
      <c r="L23" s="419">
        <f>SUM(L10:L21)</f>
        <v>0</v>
      </c>
    </row>
    <row r="24" spans="5:12" x14ac:dyDescent="0.3">
      <c r="E24" s="117"/>
      <c r="G24" s="106"/>
      <c r="L24" s="419"/>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2:X24"/>
  <sheetViews>
    <sheetView zoomScaleNormal="100" workbookViewId="0">
      <selection activeCell="J28" sqref="J28"/>
    </sheetView>
  </sheetViews>
  <sheetFormatPr defaultColWidth="3.33203125" defaultRowHeight="13.8" x14ac:dyDescent="0.3"/>
  <cols>
    <col min="1" max="3" width="3.33203125" style="106" customWidth="1"/>
    <col min="4" max="4" width="1.77734375" style="106" customWidth="1"/>
    <col min="5" max="5" width="21.88671875" style="106" customWidth="1"/>
    <col min="6" max="6" width="2" style="180" customWidth="1"/>
    <col min="7" max="7" width="8" style="180" customWidth="1"/>
    <col min="8" max="8" width="0.88671875" style="106" customWidth="1"/>
    <col min="9" max="10" width="9.33203125" style="180" customWidth="1"/>
    <col min="11" max="11" width="0.88671875" style="106" customWidth="1"/>
    <col min="12" max="13" width="9.33203125" style="180" customWidth="1"/>
    <col min="14" max="14" width="0.88671875" style="106" customWidth="1"/>
    <col min="15" max="16" width="9.33203125" style="106" hidden="1" customWidth="1"/>
    <col min="17" max="17" width="0.88671875" style="106" hidden="1" customWidth="1"/>
    <col min="18" max="19" width="9.33203125" style="106" hidden="1" customWidth="1"/>
    <col min="20" max="20" width="0.88671875" style="106" hidden="1" customWidth="1"/>
    <col min="21" max="23" width="9.33203125" style="180" customWidth="1"/>
    <col min="24" max="16384" width="3.33203125" style="106"/>
  </cols>
  <sheetData>
    <row r="2" spans="5:24" ht="23.4" x14ac:dyDescent="0.45">
      <c r="E2" s="799" t="s">
        <v>746</v>
      </c>
      <c r="F2" s="799"/>
      <c r="G2" s="799"/>
      <c r="H2" s="799"/>
      <c r="I2" s="799"/>
      <c r="J2" s="799"/>
      <c r="K2" s="799"/>
      <c r="L2" s="799"/>
      <c r="M2" s="429"/>
      <c r="N2" s="429"/>
      <c r="O2" s="429"/>
      <c r="P2" s="429"/>
      <c r="Q2" s="429"/>
      <c r="R2" s="429"/>
      <c r="S2" s="429"/>
      <c r="T2" s="429"/>
      <c r="U2" s="429"/>
      <c r="V2" s="429"/>
      <c r="W2" s="429"/>
      <c r="X2" s="429"/>
    </row>
    <row r="3" spans="5:24" ht="15.6" x14ac:dyDescent="0.3">
      <c r="E3" s="800" t="s">
        <v>852</v>
      </c>
      <c r="F3" s="800"/>
      <c r="G3" s="800"/>
      <c r="H3" s="800"/>
      <c r="I3" s="800"/>
      <c r="J3" s="800"/>
      <c r="K3" s="800"/>
      <c r="L3" s="800"/>
      <c r="M3" s="428"/>
      <c r="N3" s="428"/>
      <c r="O3" s="428"/>
      <c r="P3" s="428"/>
      <c r="Q3" s="428"/>
      <c r="R3" s="428"/>
      <c r="S3" s="428"/>
      <c r="T3" s="428"/>
      <c r="U3" s="428"/>
      <c r="V3" s="428"/>
      <c r="W3" s="428"/>
      <c r="X3" s="428"/>
    </row>
    <row r="4" spans="5:24" ht="50.25" customHeight="1" x14ac:dyDescent="0.4">
      <c r="E4" s="801">
        <f>'YEAR 5'!D4</f>
        <v>0</v>
      </c>
      <c r="F4" s="801"/>
      <c r="G4" s="801"/>
      <c r="H4" s="801"/>
      <c r="I4" s="801"/>
      <c r="J4" s="801"/>
      <c r="K4" s="801"/>
      <c r="L4" s="801"/>
      <c r="M4" s="427"/>
      <c r="N4" s="427"/>
      <c r="O4" s="427"/>
      <c r="P4" s="427"/>
      <c r="Q4" s="427"/>
      <c r="R4" s="427"/>
      <c r="S4" s="427"/>
      <c r="T4" s="427"/>
      <c r="U4" s="427"/>
      <c r="V4" s="427"/>
      <c r="W4" s="427"/>
      <c r="X4" s="427"/>
    </row>
    <row r="5" spans="5:24" x14ac:dyDescent="0.3">
      <c r="E5" s="802" t="str">
        <f>"Year Five:  "&amp;TEXT(YR5Start,"mmmm dd, yyyy")&amp;" - "&amp;TEXT(YR5End,"mmmm dd, yyyy")</f>
        <v>Year Five:  December 31, 1903 - December 30, 1904</v>
      </c>
      <c r="F5" s="802"/>
      <c r="G5" s="802"/>
      <c r="H5" s="802"/>
      <c r="I5" s="802"/>
      <c r="J5" s="802"/>
      <c r="K5" s="802"/>
      <c r="L5" s="802"/>
      <c r="M5" s="106"/>
      <c r="U5" s="106"/>
      <c r="V5" s="106"/>
      <c r="W5" s="106"/>
    </row>
    <row r="6" spans="5:24" s="110" customFormat="1" ht="3" customHeight="1" x14ac:dyDescent="0.3">
      <c r="E6" s="111"/>
      <c r="F6" s="277"/>
      <c r="G6" s="277"/>
      <c r="I6" s="277"/>
      <c r="J6" s="277"/>
      <c r="L6" s="277"/>
      <c r="M6" s="277"/>
      <c r="U6" s="277"/>
      <c r="V6" s="277"/>
      <c r="W6" s="277"/>
    </row>
    <row r="8" spans="5:24" x14ac:dyDescent="0.3">
      <c r="L8" s="426" t="s">
        <v>884</v>
      </c>
    </row>
    <row r="9" spans="5:24" x14ac:dyDescent="0.3">
      <c r="E9" s="153" t="s">
        <v>860</v>
      </c>
      <c r="G9" s="109" t="s">
        <v>22</v>
      </c>
      <c r="L9" s="423"/>
    </row>
    <row r="10" spans="5:24" x14ac:dyDescent="0.3">
      <c r="E10" s="418" t="s">
        <v>861</v>
      </c>
      <c r="G10" s="106" t="s">
        <v>862</v>
      </c>
      <c r="L10" s="419">
        <f>'YEAR 5'!P13+'YEAR 5'!P16+'YEAR 5'!P19+'YEAR 5'!P22+'YEAR 5'!P25+'YEAR 5'!P28+'YEAR 5'!P31+'YEAR 5'!P34+'YEAR 5'!P37+'YEAR 5'!P40+'YEAR 5'!P46+'YEAR 5'!P49+'YEAR 5'!P52+'YEAR 5'!P55+'YEAR 5'!P58+'YEAR 5'!P61+'YEAR 5'!P64</f>
        <v>0</v>
      </c>
    </row>
    <row r="11" spans="5:24" x14ac:dyDescent="0.3">
      <c r="E11" s="418" t="s">
        <v>863</v>
      </c>
      <c r="G11" s="106" t="s">
        <v>668</v>
      </c>
      <c r="L11" s="419">
        <f>'YEAR 5'!Q14+'YEAR 5'!Q17+'YEAR 5'!Q20+'YEAR 5'!Q23+'YEAR 5'!Q26+'YEAR 5'!Q29+'YEAR 5'!Q32+'YEAR 5'!Q35+'YEAR 5'!Q38+'YEAR 5'!Q41+'YEAR 5'!Q47+'YEAR 5'!Q50+'YEAR 5'!Q53+'YEAR 5'!Q56+'YEAR 5'!Q59+'YEAR 5'!Q62+'YEAR 5'!Q65</f>
        <v>0</v>
      </c>
    </row>
    <row r="12" spans="5:24" hidden="1" x14ac:dyDescent="0.3">
      <c r="E12" s="418" t="s">
        <v>864</v>
      </c>
      <c r="G12" s="106" t="s">
        <v>865</v>
      </c>
      <c r="L12" s="419"/>
    </row>
    <row r="13" spans="5:24" x14ac:dyDescent="0.3">
      <c r="E13" s="418" t="s">
        <v>866</v>
      </c>
      <c r="G13" s="106" t="s">
        <v>703</v>
      </c>
      <c r="L13" s="419">
        <f>'YEAR 5'!P103</f>
        <v>0</v>
      </c>
    </row>
    <row r="14" spans="5:24" x14ac:dyDescent="0.3">
      <c r="E14" s="418" t="s">
        <v>867</v>
      </c>
      <c r="G14" s="106" t="s">
        <v>868</v>
      </c>
      <c r="L14" s="419">
        <f>'YEAR 5'!P175+'YEAR 5'!P184+'YEAR 5'!P193+'YEAR 5'!P211+'YEAR 5'!P220+'YEAR 5'!P229</f>
        <v>0</v>
      </c>
    </row>
    <row r="15" spans="5:24" hidden="1" x14ac:dyDescent="0.3">
      <c r="E15" s="418" t="s">
        <v>869</v>
      </c>
      <c r="G15" s="106" t="s">
        <v>870</v>
      </c>
      <c r="L15" s="419"/>
    </row>
    <row r="16" spans="5:24" x14ac:dyDescent="0.3">
      <c r="E16" s="418" t="s">
        <v>871</v>
      </c>
      <c r="G16" s="106" t="s">
        <v>872</v>
      </c>
      <c r="L16" s="419">
        <f>'YEAR 5'!P166</f>
        <v>0</v>
      </c>
    </row>
    <row r="17" spans="5:12" hidden="1" x14ac:dyDescent="0.3">
      <c r="E17" s="418" t="s">
        <v>873</v>
      </c>
      <c r="G17" s="106" t="s">
        <v>874</v>
      </c>
      <c r="L17" s="419"/>
    </row>
    <row r="18" spans="5:12" x14ac:dyDescent="0.3">
      <c r="E18" s="418" t="s">
        <v>875</v>
      </c>
      <c r="G18" s="106" t="s">
        <v>822</v>
      </c>
      <c r="L18" s="419">
        <f>'YEAR 5'!P202</f>
        <v>0</v>
      </c>
    </row>
    <row r="19" spans="5:12" x14ac:dyDescent="0.3">
      <c r="E19" s="418" t="s">
        <v>876</v>
      </c>
      <c r="G19" s="106" t="s">
        <v>829</v>
      </c>
      <c r="L19" s="419">
        <f>'YEAR 5'!P225+'YEAR 5'!P226+'YEAR 5'!P227</f>
        <v>0</v>
      </c>
    </row>
    <row r="20" spans="5:12" x14ac:dyDescent="0.3">
      <c r="E20" s="418" t="s">
        <v>877</v>
      </c>
      <c r="G20" s="106" t="s">
        <v>878</v>
      </c>
      <c r="L20" s="419">
        <f>'YEAR 5'!P76</f>
        <v>0</v>
      </c>
    </row>
    <row r="21" spans="5:12" x14ac:dyDescent="0.3">
      <c r="E21" s="418" t="s">
        <v>879</v>
      </c>
      <c r="G21" s="106" t="s">
        <v>683</v>
      </c>
      <c r="L21" s="419">
        <f>'YEAR 5'!P251</f>
        <v>0</v>
      </c>
    </row>
    <row r="22" spans="5:12" ht="6.75" customHeight="1" x14ac:dyDescent="0.3">
      <c r="E22" s="424"/>
      <c r="G22" s="134"/>
      <c r="L22" s="425"/>
    </row>
    <row r="23" spans="5:12" x14ac:dyDescent="0.3">
      <c r="E23" s="117" t="s">
        <v>858</v>
      </c>
      <c r="G23" s="106" t="s">
        <v>880</v>
      </c>
      <c r="L23" s="419">
        <f>SUM(L10:L21)</f>
        <v>0</v>
      </c>
    </row>
    <row r="24" spans="5:12" x14ac:dyDescent="0.3">
      <c r="E24" s="117"/>
      <c r="G24" s="106"/>
      <c r="L24" s="419"/>
    </row>
  </sheetData>
  <mergeCells count="4">
    <mergeCell ref="E2:L2"/>
    <mergeCell ref="E5:L5"/>
    <mergeCell ref="E3:L3"/>
    <mergeCell ref="E4:L4"/>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E2:X25"/>
  <sheetViews>
    <sheetView zoomScaleNormal="100" workbookViewId="0">
      <selection activeCell="M26" sqref="M26"/>
    </sheetView>
  </sheetViews>
  <sheetFormatPr defaultColWidth="3.33203125" defaultRowHeight="13.8" x14ac:dyDescent="0.3"/>
  <cols>
    <col min="1" max="3" width="3.33203125" style="106" customWidth="1"/>
    <col min="4" max="4" width="1.77734375" style="106" customWidth="1"/>
    <col min="5" max="5" width="21.88671875" style="106" customWidth="1"/>
    <col min="6" max="6" width="2" style="180" customWidth="1"/>
    <col min="7" max="7" width="8" style="180" customWidth="1"/>
    <col min="8" max="8" width="0.88671875" style="106" customWidth="1"/>
    <col min="9" max="10" width="9.33203125" style="180" customWidth="1"/>
    <col min="11" max="11" width="0.88671875" style="106" customWidth="1"/>
    <col min="12" max="13" width="9.33203125" style="180" customWidth="1"/>
    <col min="14" max="14" width="0.88671875" style="106" customWidth="1"/>
    <col min="15" max="16" width="9.33203125" style="106" hidden="1" customWidth="1"/>
    <col min="17" max="17" width="0.88671875" style="106" hidden="1" customWidth="1"/>
    <col min="18" max="19" width="9.33203125" style="106" hidden="1" customWidth="1"/>
    <col min="20" max="20" width="0.88671875" style="106" hidden="1" customWidth="1"/>
    <col min="21" max="23" width="9.33203125" style="180" customWidth="1"/>
    <col min="24" max="16384" width="3.33203125" style="106"/>
  </cols>
  <sheetData>
    <row r="2" spans="5:24" ht="23.4" x14ac:dyDescent="0.45">
      <c r="E2" s="799" t="s">
        <v>746</v>
      </c>
      <c r="F2" s="799"/>
      <c r="G2" s="799"/>
      <c r="H2" s="799"/>
      <c r="I2" s="799"/>
      <c r="J2" s="799"/>
      <c r="K2" s="799"/>
      <c r="L2" s="799"/>
      <c r="M2" s="429"/>
      <c r="N2" s="429"/>
      <c r="O2" s="429"/>
      <c r="P2" s="429"/>
      <c r="Q2" s="429"/>
      <c r="R2" s="429"/>
      <c r="S2" s="429"/>
      <c r="T2" s="429"/>
      <c r="U2" s="429"/>
      <c r="V2" s="429"/>
      <c r="W2" s="429"/>
      <c r="X2" s="429"/>
    </row>
    <row r="3" spans="5:24" ht="15.6" x14ac:dyDescent="0.3">
      <c r="E3" s="800" t="s">
        <v>852</v>
      </c>
      <c r="F3" s="800"/>
      <c r="G3" s="800"/>
      <c r="H3" s="800"/>
      <c r="I3" s="800"/>
      <c r="J3" s="800"/>
      <c r="K3" s="800"/>
      <c r="L3" s="800"/>
      <c r="M3" s="428"/>
      <c r="N3" s="428"/>
      <c r="O3" s="428"/>
      <c r="P3" s="428"/>
      <c r="Q3" s="428"/>
      <c r="R3" s="428"/>
      <c r="S3" s="428"/>
      <c r="T3" s="428"/>
      <c r="U3" s="428"/>
      <c r="V3" s="428"/>
      <c r="W3" s="428"/>
      <c r="X3" s="428"/>
    </row>
    <row r="4" spans="5:24" ht="56.25" customHeight="1" x14ac:dyDescent="0.4">
      <c r="E4" s="801">
        <f>'YEAR 5'!D4</f>
        <v>0</v>
      </c>
      <c r="F4" s="801"/>
      <c r="G4" s="801"/>
      <c r="H4" s="801"/>
      <c r="I4" s="801"/>
      <c r="J4" s="801"/>
      <c r="K4" s="801"/>
      <c r="L4" s="801"/>
      <c r="M4" s="427"/>
      <c r="N4" s="427"/>
      <c r="O4" s="427"/>
      <c r="P4" s="427"/>
      <c r="Q4" s="427"/>
      <c r="R4" s="427"/>
      <c r="S4" s="427"/>
      <c r="T4" s="427"/>
      <c r="U4" s="427"/>
      <c r="V4" s="427"/>
      <c r="W4" s="427"/>
      <c r="X4" s="427"/>
    </row>
    <row r="5" spans="5:24" x14ac:dyDescent="0.3">
      <c r="E5" s="802" t="str">
        <f>"TOTAL PROJECT:  "&amp;TEXT(StartDate,"mmmm dd, yyyy")&amp;" - "&amp;TEXT(EndDate,"mmmm dd, yyyy")</f>
        <v>TOTAL PROJECT:  January 00, 1900 - January 00, 1900</v>
      </c>
      <c r="F5" s="802"/>
      <c r="G5" s="802"/>
      <c r="H5" s="802"/>
      <c r="I5" s="802"/>
      <c r="J5" s="802"/>
      <c r="K5" s="802"/>
      <c r="L5" s="802"/>
      <c r="M5" s="106"/>
      <c r="U5" s="106"/>
      <c r="V5" s="106"/>
      <c r="W5" s="106"/>
    </row>
    <row r="6" spans="5:24" s="110" customFormat="1" ht="3" customHeight="1" x14ac:dyDescent="0.3">
      <c r="E6" s="111"/>
      <c r="F6" s="277"/>
      <c r="G6" s="277"/>
      <c r="I6" s="277"/>
      <c r="J6" s="277"/>
      <c r="L6" s="277"/>
      <c r="M6" s="277"/>
      <c r="U6" s="277"/>
      <c r="V6" s="277"/>
      <c r="W6" s="277"/>
    </row>
    <row r="8" spans="5:24" x14ac:dyDescent="0.3">
      <c r="L8" s="426" t="s">
        <v>858</v>
      </c>
    </row>
    <row r="9" spans="5:24" x14ac:dyDescent="0.3">
      <c r="E9" s="153" t="s">
        <v>860</v>
      </c>
      <c r="G9" s="109" t="s">
        <v>22</v>
      </c>
      <c r="L9" s="423"/>
    </row>
    <row r="10" spans="5:24" x14ac:dyDescent="0.3">
      <c r="E10" s="418" t="s">
        <v>861</v>
      </c>
      <c r="G10" s="106" t="s">
        <v>862</v>
      </c>
      <c r="L10" s="419">
        <f>'BANNER FRAPROP Yr 1'!L10+'BANNER FRAPROP Yr 2'!L10+'BANNER FRAPROP Yr 3'!L10+'BANNER FRAPROP Yr 4'!L10+'BANNER FRAPROP Yr 5'!L10</f>
        <v>0</v>
      </c>
    </row>
    <row r="11" spans="5:24" x14ac:dyDescent="0.3">
      <c r="E11" s="418" t="s">
        <v>863</v>
      </c>
      <c r="G11" s="106" t="s">
        <v>668</v>
      </c>
      <c r="L11" s="419">
        <f>'BANNER FRAPROP Yr 1'!L11+'BANNER FRAPROP Yr 2'!L11+'BANNER FRAPROP Yr 3'!L11+'BANNER FRAPROP Yr 4'!L11+'BANNER FRAPROP Yr 5'!L11</f>
        <v>0</v>
      </c>
    </row>
    <row r="12" spans="5:24" x14ac:dyDescent="0.3">
      <c r="E12" s="418" t="s">
        <v>864</v>
      </c>
      <c r="G12" s="106" t="s">
        <v>865</v>
      </c>
      <c r="L12" s="419">
        <f>'BANNER FRAPROP Yr 1'!L12+'BANNER FRAPROP Yr 2'!L12+'BANNER FRAPROP Yr 3'!L12+'BANNER FRAPROP Yr 4'!L12+'BANNER FRAPROP Yr 5'!L12</f>
        <v>0</v>
      </c>
    </row>
    <row r="13" spans="5:24" x14ac:dyDescent="0.3">
      <c r="E13" s="418" t="s">
        <v>866</v>
      </c>
      <c r="G13" s="106" t="s">
        <v>703</v>
      </c>
      <c r="L13" s="419">
        <f>'BANNER FRAPROP Yr 1'!L13+'BANNER FRAPROP Yr 2'!L13+'BANNER FRAPROP Yr 3'!L13+'BANNER FRAPROP Yr 4'!L13+'BANNER FRAPROP Yr 5'!L13</f>
        <v>0</v>
      </c>
    </row>
    <row r="14" spans="5:24" x14ac:dyDescent="0.3">
      <c r="E14" s="418" t="s">
        <v>867</v>
      </c>
      <c r="G14" s="106" t="s">
        <v>868</v>
      </c>
      <c r="L14" s="419">
        <f>'BANNER FRAPROP Yr 1'!L14+'BANNER FRAPROP Yr 2'!L14+'BANNER FRAPROP Yr 3'!L14+'BANNER FRAPROP Yr 4'!L14+'BANNER FRAPROP Yr 5'!L14</f>
        <v>0</v>
      </c>
    </row>
    <row r="15" spans="5:24" x14ac:dyDescent="0.3">
      <c r="E15" s="418" t="s">
        <v>869</v>
      </c>
      <c r="G15" s="106" t="s">
        <v>870</v>
      </c>
      <c r="L15" s="419">
        <f>'BANNER FRAPROP Yr 1'!L15+'BANNER FRAPROP Yr 2'!L15+'BANNER FRAPROP Yr 3'!L15+'BANNER FRAPROP Yr 4'!L15+'BANNER FRAPROP Yr 5'!L15</f>
        <v>0</v>
      </c>
    </row>
    <row r="16" spans="5:24" x14ac:dyDescent="0.3">
      <c r="E16" s="418" t="s">
        <v>871</v>
      </c>
      <c r="G16" s="106" t="s">
        <v>872</v>
      </c>
      <c r="L16" s="419">
        <f>'BANNER FRAPROP Yr 1'!L16+'BANNER FRAPROP Yr 2'!L16+'BANNER FRAPROP Yr 3'!L16+'BANNER FRAPROP Yr 4'!L16+'BANNER FRAPROP Yr 5'!L16</f>
        <v>0</v>
      </c>
    </row>
    <row r="17" spans="5:13" x14ac:dyDescent="0.3">
      <c r="E17" s="418" t="s">
        <v>873</v>
      </c>
      <c r="G17" s="106" t="s">
        <v>874</v>
      </c>
      <c r="L17" s="419">
        <f>'BANNER FRAPROP Yr 1'!L17+'BANNER FRAPROP Yr 2'!L17+'BANNER FRAPROP Yr 3'!L17+'BANNER FRAPROP Yr 4'!L17+'BANNER FRAPROP Yr 5'!L17</f>
        <v>0</v>
      </c>
    </row>
    <row r="18" spans="5:13" x14ac:dyDescent="0.3">
      <c r="E18" s="418" t="s">
        <v>875</v>
      </c>
      <c r="G18" s="106" t="s">
        <v>822</v>
      </c>
      <c r="L18" s="419">
        <f>'BANNER FRAPROP Yr 1'!L18+'BANNER FRAPROP Yr 2'!L18+'BANNER FRAPROP Yr 3'!L18+'BANNER FRAPROP Yr 4'!L18+'BANNER FRAPROP Yr 5'!L18</f>
        <v>0</v>
      </c>
    </row>
    <row r="19" spans="5:13" x14ac:dyDescent="0.3">
      <c r="E19" s="418" t="s">
        <v>876</v>
      </c>
      <c r="G19" s="106" t="s">
        <v>829</v>
      </c>
      <c r="L19" s="419">
        <f>'BANNER FRAPROP Yr 1'!L19+'BANNER FRAPROP Yr 2'!L19+'BANNER FRAPROP Yr 3'!L19+'BANNER FRAPROP Yr 4'!L19+'BANNER FRAPROP Yr 5'!L19</f>
        <v>0</v>
      </c>
    </row>
    <row r="20" spans="5:13" x14ac:dyDescent="0.3">
      <c r="E20" s="418" t="s">
        <v>877</v>
      </c>
      <c r="G20" s="106" t="s">
        <v>878</v>
      </c>
      <c r="L20" s="419">
        <f>'BANNER FRAPROP Yr 1'!L20+'BANNER FRAPROP Yr 2'!L20+'BANNER FRAPROP Yr 3'!L20+'BANNER FRAPROP Yr 4'!L20+'BANNER FRAPROP Yr 5'!L20</f>
        <v>0</v>
      </c>
    </row>
    <row r="21" spans="5:13" x14ac:dyDescent="0.3">
      <c r="E21" s="418" t="s">
        <v>879</v>
      </c>
      <c r="G21" s="106" t="s">
        <v>683</v>
      </c>
      <c r="L21" s="419">
        <f>'BANNER FRAPROP Yr 1'!L21+'BANNER FRAPROP Yr 2'!L21+'BANNER FRAPROP Yr 3'!L21+'BANNER FRAPROP Yr 4'!L21+'BANNER FRAPROP Yr 5'!L21</f>
        <v>0</v>
      </c>
    </row>
    <row r="22" spans="5:13" ht="3" customHeight="1" x14ac:dyDescent="0.3">
      <c r="E22" s="424"/>
      <c r="G22" s="134"/>
      <c r="L22" s="425"/>
    </row>
    <row r="23" spans="5:13" x14ac:dyDescent="0.3">
      <c r="E23" s="117" t="s">
        <v>858</v>
      </c>
      <c r="G23" s="106" t="s">
        <v>880</v>
      </c>
      <c r="L23" s="419">
        <f>SUM(L10:L21)</f>
        <v>0</v>
      </c>
    </row>
    <row r="24" spans="5:13" x14ac:dyDescent="0.3">
      <c r="E24" s="117"/>
      <c r="G24" s="106"/>
      <c r="L24" s="419"/>
    </row>
    <row r="25" spans="5:13" x14ac:dyDescent="0.3">
      <c r="L25" s="180">
        <f>'BANNER FRAPROP Yr 1'!L23+'BANNER FRAPROP Yr 2'!L23+'BANNER FRAPROP Yr 3'!L23+'BANNER FRAPROP Yr 4'!L23+'BANNER FRAPROP Yr 5'!L23</f>
        <v>0</v>
      </c>
      <c r="M25" s="180" t="s">
        <v>885</v>
      </c>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B79"/>
  <sheetViews>
    <sheetView workbookViewId="0">
      <selection activeCell="D32" sqref="D32"/>
    </sheetView>
  </sheetViews>
  <sheetFormatPr defaultColWidth="8" defaultRowHeight="9.6" x14ac:dyDescent="0.2"/>
  <cols>
    <col min="1" max="2" width="1.33203125" style="211" customWidth="1"/>
    <col min="3" max="3" width="1.88671875" style="211" customWidth="1"/>
    <col min="4" max="6" width="0.21875" style="211" customWidth="1"/>
    <col min="7" max="7" width="1.88671875" style="211" customWidth="1"/>
    <col min="8" max="8" width="2.6640625" style="211" customWidth="1"/>
    <col min="9" max="9" width="2.109375" style="211" customWidth="1"/>
    <col min="10" max="10" width="0.21875" style="211" customWidth="1"/>
    <col min="11" max="11" width="2.109375" style="211" customWidth="1"/>
    <col min="12" max="12" width="0.21875" style="211" customWidth="1"/>
    <col min="13" max="13" width="2.109375" style="211" customWidth="1"/>
    <col min="14" max="14" width="0.21875" style="211" customWidth="1"/>
    <col min="15" max="15" width="2.109375" style="211" customWidth="1"/>
    <col min="16" max="16" width="0.21875" style="211" customWidth="1"/>
    <col min="17" max="17" width="2.109375" style="211" customWidth="1"/>
    <col min="18" max="18" width="0.21875" style="211" customWidth="1"/>
    <col min="19" max="19" width="2.109375" style="211" customWidth="1"/>
    <col min="20" max="20" width="0.21875" style="211" customWidth="1"/>
    <col min="21" max="21" width="2.109375" style="211" customWidth="1"/>
    <col min="22" max="22" width="6.44140625" style="211" customWidth="1"/>
    <col min="23" max="39" width="0.21875" style="211" customWidth="1"/>
    <col min="40" max="45" width="0.33203125" style="211" customWidth="1"/>
    <col min="46" max="48" width="0.21875" style="211" customWidth="1"/>
    <col min="49" max="49" width="0.109375" style="211" customWidth="1"/>
    <col min="50" max="51" width="0.21875" style="211" customWidth="1"/>
    <col min="52" max="52" width="0.6640625" style="211" customWidth="1"/>
    <col min="53" max="56" width="0.21875" style="211" customWidth="1"/>
    <col min="57" max="57" width="1.88671875" style="211" customWidth="1"/>
    <col min="58" max="58" width="0.21875" style="211" customWidth="1"/>
    <col min="59" max="59" width="2.33203125" style="211" customWidth="1"/>
    <col min="60" max="60" width="0.21875" style="211" customWidth="1"/>
    <col min="61" max="61" width="2.33203125" style="211" customWidth="1"/>
    <col min="62" max="62" width="0.21875" style="211" customWidth="1"/>
    <col min="63" max="63" width="2.33203125" style="211" customWidth="1"/>
    <col min="64" max="64" width="0.6640625" style="211" customWidth="1"/>
    <col min="65" max="65" width="0.88671875" style="211" customWidth="1"/>
    <col min="66" max="66" width="2.44140625" style="211" customWidth="1"/>
    <col min="67" max="67" width="2" style="211" bestFit="1" customWidth="1"/>
    <col min="68" max="68" width="2.77734375" style="211" customWidth="1"/>
    <col min="69" max="69" width="0.21875" style="211" customWidth="1"/>
    <col min="70" max="70" width="1.44140625" style="211" customWidth="1"/>
    <col min="71" max="71" width="0.21875" style="211" customWidth="1"/>
    <col min="72" max="72" width="5.88671875" style="211" customWidth="1"/>
    <col min="73" max="73" width="2.21875" style="211" bestFit="1" customWidth="1"/>
    <col min="74" max="74" width="2" style="211" customWidth="1"/>
    <col min="75" max="75" width="14.21875" style="211" customWidth="1"/>
    <col min="76" max="76" width="0.88671875" style="211" customWidth="1"/>
    <col min="77" max="77" width="1.88671875" style="211" customWidth="1"/>
    <col min="78" max="78" width="6.21875" style="211" customWidth="1"/>
    <col min="79" max="79" width="2.21875" style="211" customWidth="1"/>
    <col min="80" max="80" width="1.21875" style="211" customWidth="1"/>
    <col min="81" max="16384" width="8" style="211"/>
  </cols>
  <sheetData>
    <row r="1" spans="1:80" x14ac:dyDescent="0.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928"/>
      <c r="BX1" s="928"/>
      <c r="BY1" s="928"/>
      <c r="BZ1" s="928"/>
      <c r="CA1" s="210"/>
      <c r="CB1" s="210"/>
    </row>
    <row r="2" spans="1:80" x14ac:dyDescent="0.2">
      <c r="CB2" s="210"/>
    </row>
    <row r="3" spans="1:80" ht="12.75" customHeight="1" x14ac:dyDescent="0.2">
      <c r="A3" s="866" t="s">
        <v>886</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W3" s="932" t="s">
        <v>887</v>
      </c>
      <c r="BX3" s="932"/>
      <c r="BY3" s="932"/>
      <c r="BZ3" s="932"/>
      <c r="CB3" s="210"/>
    </row>
    <row r="4" spans="1:80" x14ac:dyDescent="0.2">
      <c r="A4" s="866"/>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213"/>
      <c r="AD4" s="213"/>
      <c r="AE4" s="213"/>
      <c r="AG4" s="839" t="s">
        <v>888</v>
      </c>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1"/>
      <c r="BU4" s="808" t="s">
        <v>889</v>
      </c>
      <c r="BV4" s="809"/>
      <c r="BW4" s="809"/>
      <c r="BX4" s="809"/>
      <c r="BY4" s="809"/>
      <c r="BZ4" s="810"/>
      <c r="CB4" s="210"/>
    </row>
    <row r="5" spans="1:80" ht="16.5" customHeight="1" x14ac:dyDescent="0.2">
      <c r="A5" s="867"/>
      <c r="B5" s="867"/>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212"/>
      <c r="AD5" s="212"/>
      <c r="AE5" s="212"/>
      <c r="AF5" s="212"/>
      <c r="AG5" s="811"/>
      <c r="AH5" s="812"/>
      <c r="AI5" s="812"/>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2"/>
      <c r="BM5" s="812"/>
      <c r="BN5" s="812"/>
      <c r="BO5" s="812"/>
      <c r="BP5" s="812"/>
      <c r="BQ5" s="812"/>
      <c r="BR5" s="812"/>
      <c r="BS5" s="812"/>
      <c r="BT5" s="813"/>
      <c r="BU5" s="811"/>
      <c r="BV5" s="812"/>
      <c r="BW5" s="812"/>
      <c r="BX5" s="812"/>
      <c r="BY5" s="812"/>
      <c r="BZ5" s="813"/>
      <c r="CB5" s="210"/>
    </row>
    <row r="6" spans="1:80" x14ac:dyDescent="0.2">
      <c r="A6" s="829" t="s">
        <v>890</v>
      </c>
      <c r="B6" s="830"/>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1"/>
      <c r="AG6" s="839" t="s">
        <v>891</v>
      </c>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c r="BG6" s="840"/>
      <c r="BH6" s="840"/>
      <c r="BI6" s="840"/>
      <c r="BJ6" s="840"/>
      <c r="BK6" s="840"/>
      <c r="BL6" s="840"/>
      <c r="BM6" s="840"/>
      <c r="BN6" s="840"/>
      <c r="BO6" s="840"/>
      <c r="BP6" s="840"/>
      <c r="BQ6" s="840"/>
      <c r="BR6" s="840"/>
      <c r="BS6" s="840"/>
      <c r="BT6" s="841"/>
      <c r="BU6" s="808" t="s">
        <v>892</v>
      </c>
      <c r="BV6" s="809"/>
      <c r="BW6" s="809"/>
      <c r="BX6" s="809"/>
      <c r="BY6" s="809"/>
      <c r="BZ6" s="810"/>
      <c r="CB6" s="210"/>
    </row>
    <row r="7" spans="1:80" x14ac:dyDescent="0.2">
      <c r="A7" s="814" t="s">
        <v>893</v>
      </c>
      <c r="B7" s="815"/>
      <c r="C7" s="815"/>
      <c r="D7" s="815"/>
      <c r="E7" s="815"/>
      <c r="F7" s="815"/>
      <c r="G7" s="815"/>
      <c r="H7" s="815"/>
      <c r="I7" s="815"/>
      <c r="J7" s="815"/>
      <c r="K7" s="815"/>
      <c r="L7" s="815"/>
      <c r="M7" s="815"/>
      <c r="N7" s="815"/>
      <c r="O7" s="815"/>
      <c r="P7" s="815" t="s">
        <v>894</v>
      </c>
      <c r="Q7" s="815"/>
      <c r="R7" s="815"/>
      <c r="S7" s="815"/>
      <c r="T7" s="815"/>
      <c r="U7" s="815"/>
      <c r="V7" s="815"/>
      <c r="W7" s="815"/>
      <c r="X7" s="815"/>
      <c r="Y7" s="815"/>
      <c r="Z7" s="815"/>
      <c r="AA7" s="815"/>
      <c r="AB7" s="815"/>
      <c r="AC7" s="815"/>
      <c r="AD7" s="815"/>
      <c r="AE7" s="815"/>
      <c r="AF7" s="816"/>
      <c r="AG7" s="814"/>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6"/>
      <c r="BU7" s="814"/>
      <c r="BV7" s="815"/>
      <c r="BW7" s="815"/>
      <c r="BX7" s="815"/>
      <c r="BY7" s="815"/>
      <c r="BZ7" s="816"/>
      <c r="CB7" s="210"/>
    </row>
    <row r="8" spans="1:80" ht="4.5" customHeight="1" x14ac:dyDescent="0.2">
      <c r="A8" s="814"/>
      <c r="B8" s="815"/>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6"/>
      <c r="AG8" s="817"/>
      <c r="AH8" s="818"/>
      <c r="AI8" s="818"/>
      <c r="AJ8" s="818"/>
      <c r="AK8" s="818"/>
      <c r="AL8" s="818"/>
      <c r="AM8" s="818"/>
      <c r="AN8" s="818"/>
      <c r="AO8" s="818"/>
      <c r="AP8" s="818"/>
      <c r="AQ8" s="818"/>
      <c r="AR8" s="818"/>
      <c r="AS8" s="818"/>
      <c r="AT8" s="818"/>
      <c r="AU8" s="818"/>
      <c r="AV8" s="818"/>
      <c r="AW8" s="818"/>
      <c r="AX8" s="818"/>
      <c r="AY8" s="818"/>
      <c r="AZ8" s="818"/>
      <c r="BA8" s="818"/>
      <c r="BB8" s="818"/>
      <c r="BC8" s="818"/>
      <c r="BD8" s="818"/>
      <c r="BE8" s="818"/>
      <c r="BF8" s="818"/>
      <c r="BG8" s="818"/>
      <c r="BH8" s="818"/>
      <c r="BI8" s="818"/>
      <c r="BJ8" s="818"/>
      <c r="BK8" s="818"/>
      <c r="BL8" s="818"/>
      <c r="BM8" s="818"/>
      <c r="BN8" s="818"/>
      <c r="BO8" s="818"/>
      <c r="BP8" s="818"/>
      <c r="BQ8" s="818"/>
      <c r="BR8" s="818"/>
      <c r="BS8" s="818"/>
      <c r="BT8" s="819"/>
      <c r="BU8" s="817"/>
      <c r="BV8" s="818"/>
      <c r="BW8" s="818"/>
      <c r="BX8" s="818"/>
      <c r="BY8" s="818"/>
      <c r="BZ8" s="819"/>
      <c r="CB8" s="210"/>
    </row>
    <row r="9" spans="1:80" ht="9.75" customHeight="1" x14ac:dyDescent="0.2">
      <c r="A9" s="573"/>
      <c r="C9" s="214"/>
      <c r="G9" s="821" t="s">
        <v>677</v>
      </c>
      <c r="H9" s="821"/>
      <c r="I9" s="821"/>
      <c r="J9" s="821"/>
      <c r="K9" s="821"/>
      <c r="L9" s="821"/>
      <c r="M9" s="821"/>
      <c r="N9" s="821"/>
      <c r="O9" s="821"/>
      <c r="Q9" s="214"/>
      <c r="S9" s="821" t="s">
        <v>677</v>
      </c>
      <c r="T9" s="821"/>
      <c r="U9" s="821"/>
      <c r="V9" s="821"/>
      <c r="W9" s="821"/>
      <c r="X9" s="821"/>
      <c r="Y9" s="821"/>
      <c r="Z9" s="821"/>
      <c r="AA9" s="821"/>
      <c r="AB9" s="821"/>
      <c r="AC9" s="213"/>
      <c r="AD9" s="213"/>
      <c r="AF9" s="232"/>
      <c r="AG9" s="839" t="s">
        <v>895</v>
      </c>
      <c r="AH9" s="840"/>
      <c r="AI9" s="840"/>
      <c r="AJ9" s="840"/>
      <c r="AK9" s="840"/>
      <c r="AL9" s="840"/>
      <c r="AM9" s="840"/>
      <c r="AN9" s="840"/>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840"/>
      <c r="BN9" s="840"/>
      <c r="BO9" s="840"/>
      <c r="BP9" s="840"/>
      <c r="BQ9" s="840"/>
      <c r="BR9" s="840"/>
      <c r="BS9" s="840"/>
      <c r="BT9" s="841"/>
      <c r="BU9" s="808" t="s">
        <v>896</v>
      </c>
      <c r="BV9" s="809"/>
      <c r="BW9" s="809"/>
      <c r="BX9" s="809"/>
      <c r="BY9" s="809"/>
      <c r="BZ9" s="810"/>
      <c r="CB9" s="210"/>
    </row>
    <row r="10" spans="1:80" ht="2.25" customHeight="1" x14ac:dyDescent="0.2">
      <c r="A10" s="573"/>
      <c r="G10" s="577"/>
      <c r="H10" s="577"/>
      <c r="I10" s="577"/>
      <c r="J10" s="577"/>
      <c r="K10" s="577"/>
      <c r="L10" s="577"/>
      <c r="M10" s="577"/>
      <c r="N10" s="577"/>
      <c r="O10" s="577"/>
      <c r="V10" s="577"/>
      <c r="W10" s="577"/>
      <c r="X10" s="577"/>
      <c r="Y10" s="577"/>
      <c r="Z10" s="577"/>
      <c r="AA10" s="577"/>
      <c r="AB10" s="577"/>
      <c r="AC10" s="577"/>
      <c r="AD10" s="577"/>
      <c r="AE10" s="577"/>
      <c r="AF10" s="578"/>
      <c r="AG10" s="820"/>
      <c r="AH10" s="821"/>
      <c r="AI10" s="821"/>
      <c r="AJ10" s="821"/>
      <c r="AK10" s="821"/>
      <c r="AL10" s="821"/>
      <c r="AM10" s="821"/>
      <c r="AN10" s="821"/>
      <c r="AO10" s="821"/>
      <c r="AP10" s="821"/>
      <c r="AQ10" s="821"/>
      <c r="AR10" s="821"/>
      <c r="AS10" s="821"/>
      <c r="AT10" s="821"/>
      <c r="AU10" s="821"/>
      <c r="AV10" s="821"/>
      <c r="AW10" s="821"/>
      <c r="AX10" s="821"/>
      <c r="AY10" s="821"/>
      <c r="AZ10" s="821"/>
      <c r="BA10" s="821"/>
      <c r="BB10" s="821"/>
      <c r="BC10" s="821"/>
      <c r="BD10" s="821"/>
      <c r="BE10" s="821"/>
      <c r="BF10" s="821"/>
      <c r="BG10" s="821"/>
      <c r="BH10" s="821"/>
      <c r="BI10" s="821"/>
      <c r="BJ10" s="821"/>
      <c r="BK10" s="821"/>
      <c r="BL10" s="821"/>
      <c r="BM10" s="821"/>
      <c r="BN10" s="821"/>
      <c r="BO10" s="821"/>
      <c r="BP10" s="821"/>
      <c r="BQ10" s="821"/>
      <c r="BR10" s="821"/>
      <c r="BS10" s="821"/>
      <c r="BT10" s="822"/>
      <c r="BU10" s="820"/>
      <c r="BV10" s="821"/>
      <c r="BW10" s="821"/>
      <c r="BX10" s="821"/>
      <c r="BY10" s="821"/>
      <c r="BZ10" s="822"/>
      <c r="CB10" s="210"/>
    </row>
    <row r="11" spans="1:80" ht="9.75" customHeight="1" x14ac:dyDescent="0.2">
      <c r="A11" s="573"/>
      <c r="C11" s="215" t="s">
        <v>897</v>
      </c>
      <c r="G11" s="821" t="s">
        <v>898</v>
      </c>
      <c r="H11" s="821"/>
      <c r="I11" s="821"/>
      <c r="J11" s="821"/>
      <c r="K11" s="821"/>
      <c r="L11" s="821"/>
      <c r="M11" s="821"/>
      <c r="N11" s="821"/>
      <c r="O11" s="821"/>
      <c r="Q11" s="214"/>
      <c r="S11" s="821" t="s">
        <v>898</v>
      </c>
      <c r="T11" s="821"/>
      <c r="U11" s="821"/>
      <c r="V11" s="821"/>
      <c r="W11" s="821"/>
      <c r="X11" s="821"/>
      <c r="Y11" s="821"/>
      <c r="Z11" s="821"/>
      <c r="AA11" s="821"/>
      <c r="AB11" s="821"/>
      <c r="AC11" s="821"/>
      <c r="AD11" s="821"/>
      <c r="AE11" s="577"/>
      <c r="AF11" s="578"/>
      <c r="AG11" s="820"/>
      <c r="AH11" s="821"/>
      <c r="AI11" s="821"/>
      <c r="AJ11" s="821"/>
      <c r="AK11" s="821"/>
      <c r="AL11" s="821"/>
      <c r="AM11" s="821"/>
      <c r="AN11" s="821"/>
      <c r="AO11" s="821"/>
      <c r="AP11" s="821"/>
      <c r="AQ11" s="821"/>
      <c r="AR11" s="821"/>
      <c r="AS11" s="821"/>
      <c r="AT11" s="821"/>
      <c r="AU11" s="821"/>
      <c r="AV11" s="821"/>
      <c r="AW11" s="821"/>
      <c r="AX11" s="821"/>
      <c r="AY11" s="821"/>
      <c r="AZ11" s="821"/>
      <c r="BA11" s="821"/>
      <c r="BB11" s="821"/>
      <c r="BC11" s="821"/>
      <c r="BD11" s="821"/>
      <c r="BE11" s="821"/>
      <c r="BF11" s="821"/>
      <c r="BG11" s="821"/>
      <c r="BH11" s="821"/>
      <c r="BI11" s="821"/>
      <c r="BJ11" s="821"/>
      <c r="BK11" s="821"/>
      <c r="BL11" s="821"/>
      <c r="BM11" s="821"/>
      <c r="BN11" s="821"/>
      <c r="BO11" s="821"/>
      <c r="BP11" s="821"/>
      <c r="BQ11" s="821"/>
      <c r="BR11" s="821"/>
      <c r="BS11" s="821"/>
      <c r="BT11" s="822"/>
      <c r="BU11" s="820"/>
      <c r="BV11" s="821"/>
      <c r="BW11" s="821"/>
      <c r="BX11" s="821"/>
      <c r="BY11" s="821"/>
      <c r="BZ11" s="822"/>
      <c r="CB11" s="210"/>
    </row>
    <row r="12" spans="1:80" ht="3" customHeight="1" x14ac:dyDescent="0.2">
      <c r="A12" s="574"/>
      <c r="B12" s="575"/>
      <c r="C12" s="575"/>
      <c r="D12" s="575"/>
      <c r="E12" s="575"/>
      <c r="F12" s="575"/>
      <c r="G12" s="579"/>
      <c r="H12" s="579"/>
      <c r="I12" s="579"/>
      <c r="J12" s="579"/>
      <c r="K12" s="579"/>
      <c r="L12" s="579"/>
      <c r="M12" s="579"/>
      <c r="N12" s="579"/>
      <c r="O12" s="579"/>
      <c r="P12" s="575"/>
      <c r="Q12" s="575"/>
      <c r="R12" s="575"/>
      <c r="S12" s="575"/>
      <c r="T12" s="575"/>
      <c r="U12" s="575"/>
      <c r="V12" s="579"/>
      <c r="W12" s="579"/>
      <c r="X12" s="579"/>
      <c r="Y12" s="579"/>
      <c r="Z12" s="579"/>
      <c r="AA12" s="579"/>
      <c r="AB12" s="579"/>
      <c r="AC12" s="579"/>
      <c r="AD12" s="579"/>
      <c r="AE12" s="579"/>
      <c r="AF12" s="580"/>
      <c r="AG12" s="823"/>
      <c r="AH12" s="824"/>
      <c r="AI12" s="824"/>
      <c r="AJ12" s="824"/>
      <c r="AK12" s="824"/>
      <c r="AL12" s="824"/>
      <c r="AM12" s="824"/>
      <c r="AN12" s="824"/>
      <c r="AO12" s="824"/>
      <c r="AP12" s="824"/>
      <c r="AQ12" s="824"/>
      <c r="AR12" s="824"/>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5"/>
      <c r="BU12" s="823"/>
      <c r="BV12" s="824"/>
      <c r="BW12" s="824"/>
      <c r="BX12" s="824"/>
      <c r="BY12" s="824"/>
      <c r="BZ12" s="825"/>
      <c r="CB12" s="210"/>
    </row>
    <row r="13" spans="1:80" ht="9.75" customHeight="1" x14ac:dyDescent="0.2">
      <c r="A13" s="842" t="s">
        <v>899</v>
      </c>
      <c r="B13" s="843"/>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4"/>
      <c r="BV13" s="844"/>
      <c r="BW13" s="844"/>
      <c r="BX13" s="844"/>
      <c r="BY13" s="844"/>
      <c r="BZ13" s="845"/>
      <c r="CB13" s="210"/>
    </row>
    <row r="14" spans="1:80" ht="10.5" customHeight="1" x14ac:dyDescent="0.2">
      <c r="A14" s="808" t="s">
        <v>900</v>
      </c>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c r="BG14" s="809"/>
      <c r="BH14" s="809"/>
      <c r="BI14" s="809"/>
      <c r="BJ14" s="809"/>
      <c r="BK14" s="809"/>
      <c r="BL14" s="809"/>
      <c r="BM14" s="810"/>
      <c r="BN14" s="832" t="s">
        <v>901</v>
      </c>
      <c r="BO14" s="833"/>
      <c r="BP14" s="833"/>
      <c r="BQ14" s="833"/>
      <c r="BR14" s="833"/>
      <c r="BS14" s="833"/>
      <c r="BT14" s="833"/>
      <c r="BU14" s="833"/>
      <c r="BV14" s="833"/>
      <c r="BW14" s="833"/>
      <c r="BX14" s="833"/>
      <c r="BY14" s="833"/>
      <c r="BZ14" s="834"/>
      <c r="CB14" s="210"/>
    </row>
    <row r="15" spans="1:80" ht="10.5" customHeight="1" x14ac:dyDescent="0.2">
      <c r="A15" s="902" t="s">
        <v>902</v>
      </c>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4"/>
      <c r="BN15" s="814" t="s">
        <v>903</v>
      </c>
      <c r="BO15" s="815"/>
      <c r="BP15" s="815"/>
      <c r="BQ15" s="815"/>
      <c r="BR15" s="815"/>
      <c r="BS15" s="815"/>
      <c r="BT15" s="815"/>
      <c r="BU15" s="815"/>
      <c r="BV15" s="815"/>
      <c r="BW15" s="815"/>
      <c r="BX15" s="815"/>
      <c r="BY15" s="815"/>
      <c r="BZ15" s="816"/>
      <c r="CB15" s="210"/>
    </row>
    <row r="16" spans="1:80" ht="10.5" customHeight="1" x14ac:dyDescent="0.2">
      <c r="A16" s="902"/>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c r="BH16" s="903"/>
      <c r="BI16" s="903"/>
      <c r="BJ16" s="903"/>
      <c r="BK16" s="903"/>
      <c r="BL16" s="903"/>
      <c r="BM16" s="904"/>
      <c r="BN16" s="814"/>
      <c r="BO16" s="815"/>
      <c r="BP16" s="815"/>
      <c r="BQ16" s="815"/>
      <c r="BR16" s="815"/>
      <c r="BS16" s="815"/>
      <c r="BT16" s="815"/>
      <c r="BU16" s="815"/>
      <c r="BV16" s="815"/>
      <c r="BW16" s="815"/>
      <c r="BX16" s="815"/>
      <c r="BY16" s="815"/>
      <c r="BZ16" s="816"/>
      <c r="CB16" s="210"/>
    </row>
    <row r="17" spans="1:80" ht="10.5" customHeight="1" x14ac:dyDescent="0.2">
      <c r="A17" s="836" t="s">
        <v>904</v>
      </c>
      <c r="B17" s="837"/>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837"/>
      <c r="BH17" s="837"/>
      <c r="BI17" s="837"/>
      <c r="BJ17" s="837"/>
      <c r="BK17" s="837"/>
      <c r="BL17" s="837"/>
      <c r="BM17" s="838"/>
      <c r="BN17" s="836" t="e">
        <f>Data!AF5</f>
        <v>#N/A</v>
      </c>
      <c r="BO17" s="837"/>
      <c r="BP17" s="837"/>
      <c r="BQ17" s="837"/>
      <c r="BR17" s="837"/>
      <c r="BS17" s="837"/>
      <c r="BT17" s="837"/>
      <c r="BU17" s="837"/>
      <c r="BV17" s="837"/>
      <c r="BW17" s="837"/>
      <c r="BX17" s="837"/>
      <c r="BY17" s="837"/>
      <c r="BZ17" s="838"/>
      <c r="CB17" s="210"/>
    </row>
    <row r="18" spans="1:80" ht="14.25" customHeight="1" x14ac:dyDescent="0.2">
      <c r="A18" s="835" t="s">
        <v>905</v>
      </c>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19"/>
      <c r="BN18" s="854"/>
      <c r="BO18" s="855"/>
      <c r="BP18" s="855"/>
      <c r="BQ18" s="855"/>
      <c r="BR18" s="855"/>
      <c r="BS18" s="855"/>
      <c r="BT18" s="855"/>
      <c r="BU18" s="855"/>
      <c r="BV18" s="855"/>
      <c r="BW18" s="855"/>
      <c r="BX18" s="855"/>
      <c r="BY18" s="855"/>
      <c r="BZ18" s="856"/>
      <c r="CB18" s="210"/>
    </row>
    <row r="19" spans="1:80" ht="9.75" customHeight="1" x14ac:dyDescent="0.2">
      <c r="A19" s="829" t="s">
        <v>906</v>
      </c>
      <c r="B19" s="830"/>
      <c r="C19" s="830"/>
      <c r="D19" s="830"/>
      <c r="E19" s="830"/>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1"/>
      <c r="BN19" s="857" t="s">
        <v>907</v>
      </c>
      <c r="BO19" s="858"/>
      <c r="BP19" s="858"/>
      <c r="BQ19" s="858"/>
      <c r="BR19" s="858"/>
      <c r="BS19" s="858"/>
      <c r="BT19" s="858"/>
      <c r="BU19" s="858"/>
      <c r="BV19" s="858"/>
      <c r="BW19" s="858"/>
      <c r="BX19" s="858"/>
      <c r="BY19" s="858"/>
      <c r="BZ19" s="859"/>
      <c r="CB19" s="210"/>
    </row>
    <row r="20" spans="1:80" ht="9.75" customHeight="1" x14ac:dyDescent="0.2">
      <c r="A20" s="860" t="s">
        <v>908</v>
      </c>
      <c r="B20" s="861"/>
      <c r="C20" s="861"/>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2"/>
      <c r="BN20" s="940"/>
      <c r="BO20" s="941"/>
      <c r="BP20" s="941"/>
      <c r="BQ20" s="941"/>
      <c r="BR20" s="941"/>
      <c r="BS20" s="941"/>
      <c r="BT20" s="941"/>
      <c r="BU20" s="941"/>
      <c r="BV20" s="941"/>
      <c r="BW20" s="941"/>
      <c r="BX20" s="941"/>
      <c r="BY20" s="941"/>
      <c r="BZ20" s="942"/>
      <c r="CB20" s="210"/>
    </row>
    <row r="21" spans="1:80" ht="9.75" customHeight="1" x14ac:dyDescent="0.2">
      <c r="A21" s="817" t="s">
        <v>909</v>
      </c>
      <c r="B21" s="818"/>
      <c r="C21" s="818"/>
      <c r="D21" s="818"/>
      <c r="E21" s="818"/>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8"/>
      <c r="BC21" s="818"/>
      <c r="BD21" s="818"/>
      <c r="BE21" s="818"/>
      <c r="BF21" s="818"/>
      <c r="BG21" s="818"/>
      <c r="BH21" s="818"/>
      <c r="BI21" s="818"/>
      <c r="BJ21" s="818"/>
      <c r="BK21" s="818"/>
      <c r="BL21" s="818"/>
      <c r="BM21" s="819"/>
      <c r="BN21" s="857" t="s">
        <v>910</v>
      </c>
      <c r="BO21" s="858"/>
      <c r="BP21" s="858"/>
      <c r="BQ21" s="858"/>
      <c r="BR21" s="858"/>
      <c r="BS21" s="858"/>
      <c r="BT21" s="859"/>
      <c r="BU21" s="857" t="s">
        <v>911</v>
      </c>
      <c r="BV21" s="858"/>
      <c r="BW21" s="858"/>
      <c r="BX21" s="858"/>
      <c r="BY21" s="858"/>
      <c r="BZ21" s="859"/>
      <c r="CB21" s="210"/>
    </row>
    <row r="22" spans="1:80" ht="9.75" customHeight="1" x14ac:dyDescent="0.2">
      <c r="A22" s="817"/>
      <c r="B22" s="818"/>
      <c r="C22" s="818"/>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8"/>
      <c r="AY22" s="818"/>
      <c r="AZ22" s="818"/>
      <c r="BA22" s="818"/>
      <c r="BB22" s="818"/>
      <c r="BC22" s="818"/>
      <c r="BD22" s="818"/>
      <c r="BE22" s="818"/>
      <c r="BF22" s="818"/>
      <c r="BG22" s="818"/>
      <c r="BH22" s="818"/>
      <c r="BI22" s="818"/>
      <c r="BJ22" s="818"/>
      <c r="BK22" s="818"/>
      <c r="BL22" s="818"/>
      <c r="BM22" s="819"/>
      <c r="BN22" s="874" t="s">
        <v>912</v>
      </c>
      <c r="BO22" s="875"/>
      <c r="BP22" s="875"/>
      <c r="BQ22" s="875"/>
      <c r="BR22" s="875"/>
      <c r="BS22" s="875"/>
      <c r="BT22" s="876"/>
      <c r="BU22" s="874" t="s">
        <v>913</v>
      </c>
      <c r="BV22" s="875"/>
      <c r="BW22" s="875"/>
      <c r="BX22" s="875"/>
      <c r="BY22" s="875"/>
      <c r="BZ22" s="876"/>
      <c r="CB22" s="210"/>
    </row>
    <row r="23" spans="1:80" ht="9.75" customHeight="1" x14ac:dyDescent="0.2">
      <c r="A23" s="814" t="s">
        <v>914</v>
      </c>
      <c r="B23" s="815"/>
      <c r="C23" s="815"/>
      <c r="D23" s="815"/>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5"/>
      <c r="AS23" s="815"/>
      <c r="AT23" s="815"/>
      <c r="AU23" s="815"/>
      <c r="AV23" s="815"/>
      <c r="AW23" s="815"/>
      <c r="AX23" s="815"/>
      <c r="AY23" s="815"/>
      <c r="AZ23" s="815"/>
      <c r="BA23" s="815"/>
      <c r="BB23" s="815"/>
      <c r="BC23" s="815"/>
      <c r="BD23" s="815"/>
      <c r="BE23" s="815"/>
      <c r="BF23" s="815"/>
      <c r="BG23" s="815"/>
      <c r="BH23" s="815"/>
      <c r="BI23" s="815"/>
      <c r="BJ23" s="815"/>
      <c r="BK23" s="815"/>
      <c r="BL23" s="815"/>
      <c r="BM23" s="816"/>
      <c r="BN23" s="857" t="s">
        <v>915</v>
      </c>
      <c r="BO23" s="858"/>
      <c r="BP23" s="858"/>
      <c r="BQ23" s="858"/>
      <c r="BR23" s="858"/>
      <c r="BS23" s="858"/>
      <c r="BT23" s="858"/>
      <c r="BU23" s="858"/>
      <c r="BV23" s="858"/>
      <c r="BW23" s="858"/>
      <c r="BX23" s="858"/>
      <c r="BY23" s="858"/>
      <c r="BZ23" s="859"/>
      <c r="CB23" s="210"/>
    </row>
    <row r="24" spans="1:80" ht="9.75" customHeight="1" x14ac:dyDescent="0.2">
      <c r="A24" s="814" t="s">
        <v>916</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6"/>
      <c r="BN24" s="874" t="s">
        <v>682</v>
      </c>
      <c r="BO24" s="875"/>
      <c r="BP24" s="875"/>
      <c r="BQ24" s="875"/>
      <c r="BR24" s="875"/>
      <c r="BS24" s="875"/>
      <c r="BT24" s="875"/>
      <c r="BU24" s="875"/>
      <c r="BV24" s="875"/>
      <c r="BW24" s="875"/>
      <c r="BX24" s="875"/>
      <c r="BY24" s="875"/>
      <c r="BZ24" s="876"/>
      <c r="CB24" s="210"/>
    </row>
    <row r="25" spans="1:80" ht="9.75" customHeight="1" x14ac:dyDescent="0.2">
      <c r="A25" s="860" t="s">
        <v>917</v>
      </c>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2"/>
      <c r="BN25" s="857" t="s">
        <v>918</v>
      </c>
      <c r="BO25" s="858"/>
      <c r="BP25" s="858"/>
      <c r="BQ25" s="858"/>
      <c r="BR25" s="858"/>
      <c r="BS25" s="858"/>
      <c r="BT25" s="858"/>
      <c r="BU25" s="858"/>
      <c r="BV25" s="858"/>
      <c r="BW25" s="858"/>
      <c r="BX25" s="858"/>
      <c r="BY25" s="858"/>
      <c r="BZ25" s="859"/>
      <c r="CB25" s="210"/>
    </row>
    <row r="26" spans="1:80" ht="9.75" customHeight="1" x14ac:dyDescent="0.2">
      <c r="A26" s="817" t="s">
        <v>919</v>
      </c>
      <c r="B26" s="818"/>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8"/>
      <c r="AM26" s="818"/>
      <c r="AN26" s="818"/>
      <c r="AO26" s="818"/>
      <c r="AP26" s="818"/>
      <c r="AQ26" s="818"/>
      <c r="AR26" s="818"/>
      <c r="AS26" s="818"/>
      <c r="AT26" s="818"/>
      <c r="AU26" s="818"/>
      <c r="AV26" s="818"/>
      <c r="AW26" s="818"/>
      <c r="AX26" s="818"/>
      <c r="AY26" s="818"/>
      <c r="AZ26" s="818"/>
      <c r="BA26" s="818"/>
      <c r="BB26" s="818"/>
      <c r="BC26" s="818"/>
      <c r="BD26" s="818"/>
      <c r="BE26" s="818"/>
      <c r="BF26" s="818"/>
      <c r="BG26" s="818"/>
      <c r="BH26" s="818"/>
      <c r="BI26" s="818"/>
      <c r="BJ26" s="818"/>
      <c r="BK26" s="818"/>
      <c r="BL26" s="818"/>
      <c r="BM26" s="819"/>
      <c r="BN26" s="874" t="s">
        <v>920</v>
      </c>
      <c r="BO26" s="875"/>
      <c r="BP26" s="875"/>
      <c r="BQ26" s="875"/>
      <c r="BR26" s="875"/>
      <c r="BS26" s="875"/>
      <c r="BT26" s="875"/>
      <c r="BU26" s="875"/>
      <c r="BV26" s="875"/>
      <c r="BW26" s="875"/>
      <c r="BX26" s="875"/>
      <c r="BY26" s="875"/>
      <c r="BZ26" s="876"/>
      <c r="CB26" s="210"/>
    </row>
    <row r="27" spans="1:80" ht="9.75" customHeight="1" x14ac:dyDescent="0.2">
      <c r="A27" s="860" t="s">
        <v>921</v>
      </c>
      <c r="B27" s="861"/>
      <c r="C27" s="861"/>
      <c r="D27" s="861"/>
      <c r="E27" s="861"/>
      <c r="F27" s="861"/>
      <c r="G27" s="861"/>
      <c r="H27" s="861"/>
      <c r="I27" s="861"/>
      <c r="J27" s="861"/>
      <c r="K27" s="861"/>
      <c r="L27" s="861"/>
      <c r="M27" s="861"/>
      <c r="N27" s="861"/>
      <c r="O27" s="861"/>
      <c r="P27" s="861"/>
      <c r="Q27" s="861"/>
      <c r="R27" s="861"/>
      <c r="S27" s="861"/>
      <c r="T27" s="861"/>
      <c r="U27" s="862"/>
      <c r="V27" s="860" t="s">
        <v>922</v>
      </c>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2"/>
      <c r="BN27" s="857" t="s">
        <v>923</v>
      </c>
      <c r="BO27" s="858"/>
      <c r="BP27" s="858"/>
      <c r="BQ27" s="858"/>
      <c r="BR27" s="858"/>
      <c r="BS27" s="858"/>
      <c r="BT27" s="858"/>
      <c r="BU27" s="858"/>
      <c r="BV27" s="858"/>
      <c r="BW27" s="858"/>
      <c r="BX27" s="858"/>
      <c r="BY27" s="858"/>
      <c r="BZ27" s="859"/>
      <c r="CB27" s="210"/>
    </row>
    <row r="28" spans="1:80" ht="9.75" customHeight="1" x14ac:dyDescent="0.2">
      <c r="A28" s="817" t="s">
        <v>924</v>
      </c>
      <c r="B28" s="818"/>
      <c r="C28" s="818"/>
      <c r="D28" s="818"/>
      <c r="E28" s="818"/>
      <c r="F28" s="818"/>
      <c r="G28" s="818"/>
      <c r="H28" s="818"/>
      <c r="I28" s="818"/>
      <c r="J28" s="818"/>
      <c r="K28" s="818"/>
      <c r="L28" s="818"/>
      <c r="M28" s="818"/>
      <c r="N28" s="818"/>
      <c r="O28" s="818"/>
      <c r="P28" s="818"/>
      <c r="Q28" s="818"/>
      <c r="R28" s="818"/>
      <c r="S28" s="818"/>
      <c r="T28" s="818"/>
      <c r="U28" s="819"/>
      <c r="V28" s="817" t="s">
        <v>925</v>
      </c>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8"/>
      <c r="AY28" s="818"/>
      <c r="AZ28" s="818"/>
      <c r="BA28" s="818"/>
      <c r="BB28" s="818"/>
      <c r="BC28" s="818"/>
      <c r="BD28" s="818"/>
      <c r="BE28" s="818"/>
      <c r="BF28" s="818"/>
      <c r="BG28" s="818"/>
      <c r="BH28" s="818"/>
      <c r="BI28" s="818"/>
      <c r="BJ28" s="818"/>
      <c r="BK28" s="818"/>
      <c r="BL28" s="818"/>
      <c r="BM28" s="819"/>
      <c r="BN28" s="929"/>
      <c r="BO28" s="930"/>
      <c r="BP28" s="930"/>
      <c r="BQ28" s="930"/>
      <c r="BR28" s="930"/>
      <c r="BS28" s="930"/>
      <c r="BT28" s="930"/>
      <c r="BU28" s="930"/>
      <c r="BV28" s="930"/>
      <c r="BW28" s="930"/>
      <c r="BX28" s="930"/>
      <c r="BY28" s="930"/>
      <c r="BZ28" s="931"/>
      <c r="CB28" s="210"/>
    </row>
    <row r="29" spans="1:80" ht="9.75" customHeight="1" x14ac:dyDescent="0.2">
      <c r="A29" s="860" t="s">
        <v>926</v>
      </c>
      <c r="B29" s="861"/>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2"/>
      <c r="BN29" s="857" t="s">
        <v>927</v>
      </c>
      <c r="BO29" s="858"/>
      <c r="BP29" s="858"/>
      <c r="BQ29" s="858"/>
      <c r="BR29" s="858"/>
      <c r="BS29" s="858"/>
      <c r="BT29" s="858"/>
      <c r="BU29" s="858"/>
      <c r="BV29" s="858"/>
      <c r="BW29" s="858"/>
      <c r="BX29" s="858"/>
      <c r="BY29" s="858"/>
      <c r="BZ29" s="859"/>
      <c r="CB29" s="210"/>
    </row>
    <row r="30" spans="1:80" ht="12" x14ac:dyDescent="0.2">
      <c r="A30" s="817" t="s">
        <v>928</v>
      </c>
      <c r="B30" s="818"/>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M30" s="818"/>
      <c r="AN30" s="818"/>
      <c r="AO30" s="818"/>
      <c r="AP30" s="818"/>
      <c r="AQ30" s="818"/>
      <c r="AR30" s="818"/>
      <c r="AS30" s="818"/>
      <c r="AT30" s="818"/>
      <c r="AU30" s="818"/>
      <c r="AV30" s="818"/>
      <c r="AW30" s="818"/>
      <c r="AX30" s="818"/>
      <c r="AY30" s="818"/>
      <c r="AZ30" s="818"/>
      <c r="BA30" s="818"/>
      <c r="BB30" s="818"/>
      <c r="BC30" s="818"/>
      <c r="BD30" s="818"/>
      <c r="BE30" s="818"/>
      <c r="BF30" s="818"/>
      <c r="BG30" s="818"/>
      <c r="BH30" s="818"/>
      <c r="BI30" s="818"/>
      <c r="BJ30" s="818"/>
      <c r="BK30" s="818"/>
      <c r="BL30" s="818"/>
      <c r="BM30" s="819"/>
      <c r="BN30" s="826" t="s">
        <v>929</v>
      </c>
      <c r="BO30" s="827"/>
      <c r="BP30" s="827"/>
      <c r="BQ30" s="827"/>
      <c r="BR30" s="827"/>
      <c r="BS30" s="827"/>
      <c r="BT30" s="827"/>
      <c r="BU30" s="827"/>
      <c r="BV30" s="827"/>
      <c r="BW30" s="827"/>
      <c r="BX30" s="827"/>
      <c r="BY30" s="827"/>
      <c r="BZ30" s="828"/>
      <c r="CB30" s="210"/>
    </row>
    <row r="31" spans="1:80" x14ac:dyDescent="0.2">
      <c r="A31" s="839" t="s">
        <v>930</v>
      </c>
      <c r="B31" s="840"/>
      <c r="C31" s="840"/>
      <c r="D31" s="840"/>
      <c r="E31" s="840"/>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0"/>
      <c r="AY31" s="840"/>
      <c r="AZ31" s="840"/>
      <c r="BA31" s="840"/>
      <c r="BB31" s="840"/>
      <c r="BC31" s="840"/>
      <c r="BD31" s="840"/>
      <c r="BE31" s="840"/>
      <c r="BF31" s="840"/>
      <c r="BG31" s="840"/>
      <c r="BH31" s="840"/>
      <c r="BI31" s="840"/>
      <c r="BJ31" s="840"/>
      <c r="BK31" s="840"/>
      <c r="BL31" s="840"/>
      <c r="BM31" s="841"/>
      <c r="BN31" s="808" t="s">
        <v>931</v>
      </c>
      <c r="BO31" s="809"/>
      <c r="BP31" s="809"/>
      <c r="BQ31" s="809"/>
      <c r="BR31" s="809"/>
      <c r="BS31" s="809"/>
      <c r="BT31" s="809"/>
      <c r="BU31" s="809"/>
      <c r="BV31" s="809"/>
      <c r="BW31" s="809" t="s">
        <v>932</v>
      </c>
      <c r="BX31" s="809"/>
      <c r="BY31" s="809"/>
      <c r="BZ31" s="810"/>
      <c r="CB31" s="210"/>
    </row>
    <row r="32" spans="1:80" ht="5.25" customHeight="1" x14ac:dyDescent="0.2">
      <c r="A32" s="216"/>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7"/>
      <c r="BN32" s="873" t="s">
        <v>933</v>
      </c>
      <c r="BO32" s="846"/>
      <c r="BP32" s="846"/>
      <c r="BQ32" s="846"/>
      <c r="BR32" s="846"/>
      <c r="BS32" s="846"/>
      <c r="BT32" s="846"/>
      <c r="BU32" s="846"/>
      <c r="BV32" s="846"/>
      <c r="BW32" s="846" t="s">
        <v>934</v>
      </c>
      <c r="BX32" s="846"/>
      <c r="BY32" s="846"/>
      <c r="BZ32" s="847"/>
      <c r="CB32" s="210"/>
    </row>
    <row r="33" spans="1:80" s="219" customFormat="1" ht="9.75" customHeight="1" x14ac:dyDescent="0.2">
      <c r="A33" s="218"/>
      <c r="C33" s="868">
        <v>4</v>
      </c>
      <c r="D33" s="869"/>
      <c r="F33" s="868">
        <v>6</v>
      </c>
      <c r="G33" s="869"/>
      <c r="H33" s="220" t="s">
        <v>935</v>
      </c>
      <c r="I33" s="221">
        <v>6</v>
      </c>
      <c r="J33" s="219">
        <v>0</v>
      </c>
      <c r="K33" s="221">
        <v>0</v>
      </c>
      <c r="M33" s="221">
        <v>0</v>
      </c>
      <c r="O33" s="221">
        <v>0</v>
      </c>
      <c r="Q33" s="221">
        <v>3</v>
      </c>
      <c r="S33" s="221">
        <v>6</v>
      </c>
      <c r="U33" s="221">
        <v>4</v>
      </c>
      <c r="BM33" s="222"/>
      <c r="BN33" s="873"/>
      <c r="BO33" s="846"/>
      <c r="BP33" s="846"/>
      <c r="BQ33" s="846"/>
      <c r="BR33" s="846"/>
      <c r="BS33" s="846"/>
      <c r="BT33" s="846"/>
      <c r="BU33" s="846"/>
      <c r="BV33" s="846"/>
      <c r="BW33" s="846"/>
      <c r="BX33" s="846"/>
      <c r="BY33" s="846"/>
      <c r="BZ33" s="847"/>
      <c r="CB33" s="223"/>
    </row>
    <row r="34" spans="1:80" ht="3.75" customHeight="1" x14ac:dyDescent="0.2">
      <c r="A34" s="817"/>
      <c r="B34" s="818"/>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8"/>
      <c r="AY34" s="818"/>
      <c r="AZ34" s="818"/>
      <c r="BA34" s="818"/>
      <c r="BB34" s="818"/>
      <c r="BC34" s="818"/>
      <c r="BD34" s="818"/>
      <c r="BE34" s="818"/>
      <c r="BF34" s="818"/>
      <c r="BG34" s="818"/>
      <c r="BH34" s="818"/>
      <c r="BI34" s="818"/>
      <c r="BJ34" s="818"/>
      <c r="BK34" s="818"/>
      <c r="BL34" s="818"/>
      <c r="BM34" s="819"/>
      <c r="BZ34" s="232"/>
      <c r="CB34" s="210"/>
    </row>
    <row r="35" spans="1:80" ht="11.25" customHeight="1" thickBot="1" x14ac:dyDescent="0.25">
      <c r="A35" s="839" t="s">
        <v>936</v>
      </c>
      <c r="B35" s="84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0"/>
      <c r="AY35" s="840"/>
      <c r="AZ35" s="840"/>
      <c r="BA35" s="840"/>
      <c r="BB35" s="840"/>
      <c r="BC35" s="840"/>
      <c r="BD35" s="840"/>
      <c r="BE35" s="840"/>
      <c r="BF35" s="840"/>
      <c r="BG35" s="840"/>
      <c r="BH35" s="840"/>
      <c r="BI35" s="840"/>
      <c r="BJ35" s="840"/>
      <c r="BK35" s="840"/>
      <c r="BL35" s="840"/>
      <c r="BM35" s="841"/>
      <c r="BN35" s="839" t="s">
        <v>937</v>
      </c>
      <c r="BO35" s="840"/>
      <c r="BP35" s="840"/>
      <c r="BQ35" s="840"/>
      <c r="BR35" s="840"/>
      <c r="BS35" s="840"/>
      <c r="BT35" s="840"/>
      <c r="BU35" s="840"/>
      <c r="BV35" s="840"/>
      <c r="BW35" s="840"/>
      <c r="BX35" s="840"/>
      <c r="BY35" s="840"/>
      <c r="BZ35" s="841"/>
      <c r="CB35" s="210"/>
    </row>
    <row r="36" spans="1:80" ht="12" customHeight="1" thickBot="1" x14ac:dyDescent="0.25">
      <c r="A36" s="573"/>
      <c r="K36" s="224" t="s">
        <v>938</v>
      </c>
      <c r="M36" s="821" t="s">
        <v>939</v>
      </c>
      <c r="N36" s="821"/>
      <c r="O36" s="821"/>
      <c r="T36" s="577"/>
      <c r="U36" s="225"/>
      <c r="V36" s="577" t="s">
        <v>940</v>
      </c>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E36" s="224"/>
      <c r="BG36" s="577" t="s">
        <v>941</v>
      </c>
      <c r="BH36" s="577"/>
      <c r="BI36" s="577"/>
      <c r="BJ36" s="577"/>
      <c r="BK36" s="577"/>
      <c r="BL36" s="577"/>
      <c r="BM36" s="232"/>
      <c r="BN36" s="848"/>
      <c r="BO36" s="849"/>
      <c r="BP36" s="849"/>
      <c r="BQ36" s="849"/>
      <c r="BR36" s="849"/>
      <c r="BS36" s="849"/>
      <c r="BT36" s="849"/>
      <c r="BU36" s="849"/>
      <c r="BV36" s="849"/>
      <c r="BW36" s="849"/>
      <c r="BX36" s="849"/>
      <c r="BY36" s="849"/>
      <c r="BZ36" s="850"/>
      <c r="CB36" s="210"/>
    </row>
    <row r="37" spans="1:80" ht="6.75" customHeight="1" x14ac:dyDescent="0.2">
      <c r="A37" s="573"/>
      <c r="BM37" s="232"/>
      <c r="BN37" s="851" t="s">
        <v>942</v>
      </c>
      <c r="BO37" s="852"/>
      <c r="BP37" s="852"/>
      <c r="BQ37" s="852"/>
      <c r="BR37" s="852"/>
      <c r="BS37" s="852"/>
      <c r="BT37" s="852"/>
      <c r="BU37" s="852"/>
      <c r="BV37" s="852"/>
      <c r="BW37" s="852"/>
      <c r="BX37" s="852"/>
      <c r="BY37" s="852"/>
      <c r="BZ37" s="853"/>
      <c r="CB37" s="210"/>
    </row>
    <row r="38" spans="1:80" ht="9.75" customHeight="1" x14ac:dyDescent="0.2">
      <c r="A38" s="814" t="s">
        <v>943</v>
      </c>
      <c r="B38" s="815"/>
      <c r="C38" s="815"/>
      <c r="D38" s="815"/>
      <c r="E38" s="815"/>
      <c r="F38" s="815"/>
      <c r="G38" s="815"/>
      <c r="H38" s="815"/>
      <c r="I38" s="815"/>
      <c r="J38" s="815"/>
      <c r="K38" s="815"/>
      <c r="L38" s="815"/>
      <c r="M38" s="815"/>
      <c r="N38" s="815"/>
      <c r="O38" s="815"/>
      <c r="P38" s="815"/>
      <c r="Q38" s="815"/>
      <c r="R38" s="815"/>
      <c r="S38" s="815"/>
      <c r="T38" s="815"/>
      <c r="U38" s="815"/>
      <c r="V38" s="815"/>
      <c r="BM38" s="232"/>
      <c r="BN38" s="851"/>
      <c r="BO38" s="852"/>
      <c r="BP38" s="852"/>
      <c r="BQ38" s="852"/>
      <c r="BR38" s="852"/>
      <c r="BS38" s="852"/>
      <c r="BT38" s="852"/>
      <c r="BU38" s="852"/>
      <c r="BV38" s="852"/>
      <c r="BW38" s="852"/>
      <c r="BX38" s="852"/>
      <c r="BY38" s="852"/>
      <c r="BZ38" s="853"/>
      <c r="CB38" s="210"/>
    </row>
    <row r="39" spans="1:80" ht="9.75" customHeight="1" x14ac:dyDescent="0.2">
      <c r="A39" s="814" t="s">
        <v>944</v>
      </c>
      <c r="B39" s="815"/>
      <c r="C39" s="815"/>
      <c r="D39" s="815"/>
      <c r="E39" s="815"/>
      <c r="F39" s="815"/>
      <c r="G39" s="815"/>
      <c r="H39" s="815"/>
      <c r="I39" s="815"/>
      <c r="J39" s="815"/>
      <c r="K39" s="815"/>
      <c r="L39" s="815"/>
      <c r="M39" s="815"/>
      <c r="N39" s="815"/>
      <c r="O39" s="815"/>
      <c r="P39" s="815"/>
      <c r="Q39" s="815"/>
      <c r="R39" s="815"/>
      <c r="S39" s="815"/>
      <c r="T39" s="815"/>
      <c r="U39" s="815"/>
      <c r="V39" s="815"/>
      <c r="BM39" s="232"/>
      <c r="BN39" s="814" t="s">
        <v>945</v>
      </c>
      <c r="BO39" s="815"/>
      <c r="BP39" s="815"/>
      <c r="BQ39" s="815"/>
      <c r="BR39" s="815"/>
      <c r="BS39" s="815"/>
      <c r="BT39" s="815"/>
      <c r="BU39" s="815"/>
      <c r="BV39" s="815"/>
      <c r="BW39" s="815"/>
      <c r="BX39" s="815"/>
      <c r="BY39" s="815"/>
      <c r="BZ39" s="816"/>
      <c r="CB39" s="210"/>
    </row>
    <row r="40" spans="1:80" ht="10.5" customHeight="1" x14ac:dyDescent="0.2">
      <c r="A40" s="573"/>
      <c r="Y40" s="877"/>
      <c r="Z40" s="878"/>
      <c r="AA40" s="878"/>
      <c r="AB40" s="878"/>
      <c r="AC40" s="878"/>
      <c r="AD40" s="878"/>
      <c r="AE40" s="878"/>
      <c r="AF40" s="879"/>
      <c r="BE40" s="214"/>
      <c r="BM40" s="232"/>
      <c r="BN40" s="817"/>
      <c r="BO40" s="818"/>
      <c r="BP40" s="818"/>
      <c r="BQ40" s="818"/>
      <c r="BR40" s="818"/>
      <c r="BS40" s="818"/>
      <c r="BT40" s="818"/>
      <c r="BU40" s="818"/>
      <c r="BV40" s="818"/>
      <c r="BW40" s="818"/>
      <c r="BX40" s="818"/>
      <c r="BY40" s="818"/>
      <c r="BZ40" s="819"/>
      <c r="CB40" s="210"/>
    </row>
    <row r="41" spans="1:80" x14ac:dyDescent="0.2">
      <c r="A41" s="814" t="s">
        <v>945</v>
      </c>
      <c r="B41" s="815"/>
      <c r="C41" s="815"/>
      <c r="D41" s="815"/>
      <c r="E41" s="815"/>
      <c r="F41" s="815"/>
      <c r="G41" s="815"/>
      <c r="H41" s="815"/>
      <c r="I41" s="815"/>
      <c r="J41" s="815"/>
      <c r="K41" s="815"/>
      <c r="L41" s="815"/>
      <c r="M41" s="815"/>
      <c r="N41" s="815"/>
      <c r="O41" s="815"/>
      <c r="P41" s="815"/>
      <c r="BM41" s="232"/>
      <c r="BN41" s="829" t="s">
        <v>946</v>
      </c>
      <c r="BO41" s="830"/>
      <c r="BP41" s="830"/>
      <c r="BQ41" s="830"/>
      <c r="BR41" s="830"/>
      <c r="BS41" s="830"/>
      <c r="BT41" s="830"/>
      <c r="BU41" s="830"/>
      <c r="BV41" s="830"/>
      <c r="BW41" s="830"/>
      <c r="BX41" s="830"/>
      <c r="BY41" s="830"/>
      <c r="BZ41" s="831"/>
      <c r="CB41" s="210"/>
    </row>
    <row r="42" spans="1:80" x14ac:dyDescent="0.2">
      <c r="A42" s="573"/>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818"/>
      <c r="AS42" s="818"/>
      <c r="AT42" s="818"/>
      <c r="AU42" s="818"/>
      <c r="AV42" s="818"/>
      <c r="AW42" s="818"/>
      <c r="AX42" s="818"/>
      <c r="AY42" s="818"/>
      <c r="AZ42" s="818"/>
      <c r="BA42" s="818"/>
      <c r="BB42" s="818"/>
      <c r="BC42" s="818"/>
      <c r="BD42" s="818"/>
      <c r="BE42" s="818"/>
      <c r="BF42" s="818"/>
      <c r="BG42" s="818"/>
      <c r="BM42" s="232"/>
      <c r="BN42" s="925" t="s">
        <v>947</v>
      </c>
      <c r="BO42" s="926"/>
      <c r="BP42" s="926"/>
      <c r="BQ42" s="926"/>
      <c r="BR42" s="926"/>
      <c r="BS42" s="926"/>
      <c r="BT42" s="926"/>
      <c r="BU42" s="926"/>
      <c r="BV42" s="926"/>
      <c r="BW42" s="926"/>
      <c r="BX42" s="926"/>
      <c r="BY42" s="926"/>
      <c r="BZ42" s="927"/>
      <c r="CB42" s="210"/>
    </row>
    <row r="43" spans="1:80" x14ac:dyDescent="0.2">
      <c r="A43" s="829" t="s">
        <v>948</v>
      </c>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0"/>
      <c r="BJ43" s="830"/>
      <c r="BK43" s="830"/>
      <c r="BL43" s="830"/>
      <c r="BM43" s="831"/>
      <c r="BN43" s="829" t="s">
        <v>949</v>
      </c>
      <c r="BO43" s="830"/>
      <c r="BP43" s="830"/>
      <c r="BQ43" s="830"/>
      <c r="BR43" s="830"/>
      <c r="BS43" s="830"/>
      <c r="BT43" s="830"/>
      <c r="BU43" s="830"/>
      <c r="BV43" s="830"/>
      <c r="BW43" s="830"/>
      <c r="BX43" s="830"/>
      <c r="BY43" s="830"/>
      <c r="BZ43" s="831"/>
      <c r="CB43" s="210"/>
    </row>
    <row r="44" spans="1:80" ht="4.5" customHeight="1" x14ac:dyDescent="0.2">
      <c r="A44" s="814"/>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6"/>
      <c r="BO44" s="226"/>
      <c r="BP44" s="226"/>
      <c r="BQ44" s="226"/>
      <c r="BR44" s="226"/>
      <c r="BS44" s="226"/>
      <c r="BT44" s="226"/>
      <c r="BU44" s="226"/>
      <c r="BV44" s="226"/>
      <c r="BW44" s="226"/>
      <c r="BX44" s="226"/>
      <c r="BY44" s="226"/>
      <c r="BZ44" s="227"/>
      <c r="CB44" s="210"/>
    </row>
    <row r="45" spans="1:80" ht="15" customHeight="1" x14ac:dyDescent="0.2">
      <c r="A45" s="573"/>
      <c r="AH45" s="228"/>
      <c r="AI45" s="228"/>
      <c r="AJ45" s="228"/>
      <c r="AK45" s="228"/>
      <c r="AL45" s="228"/>
      <c r="AM45" s="870">
        <v>9</v>
      </c>
      <c r="AN45" s="871"/>
      <c r="AO45" s="871"/>
      <c r="AP45" s="871"/>
      <c r="AQ45" s="871"/>
      <c r="AR45" s="871"/>
      <c r="AS45" s="872"/>
      <c r="AT45" s="228"/>
      <c r="AU45" s="870">
        <v>3</v>
      </c>
      <c r="AV45" s="871"/>
      <c r="AW45" s="871"/>
      <c r="AX45" s="871"/>
      <c r="AY45" s="871"/>
      <c r="AZ45" s="871"/>
      <c r="BA45" s="871"/>
      <c r="BB45" s="871"/>
      <c r="BC45" s="872"/>
      <c r="BD45" s="228"/>
      <c r="BE45" s="229" t="s">
        <v>935</v>
      </c>
      <c r="BF45" s="230">
        <v>1</v>
      </c>
      <c r="BG45" s="231">
        <v>2</v>
      </c>
      <c r="BH45" s="230"/>
      <c r="BI45" s="231">
        <v>6</v>
      </c>
      <c r="BJ45" s="228"/>
      <c r="BK45" s="231">
        <v>2</v>
      </c>
      <c r="BM45" s="232"/>
      <c r="BN45" s="880">
        <f>'YEAR 1'!D4</f>
        <v>0</v>
      </c>
      <c r="BO45" s="881"/>
      <c r="BP45" s="881"/>
      <c r="BQ45" s="881"/>
      <c r="BR45" s="881"/>
      <c r="BS45" s="881"/>
      <c r="BT45" s="881"/>
      <c r="BU45" s="881"/>
      <c r="BV45" s="881"/>
      <c r="BW45" s="881"/>
      <c r="BX45" s="881"/>
      <c r="BY45" s="881"/>
      <c r="BZ45" s="882"/>
      <c r="CB45" s="210"/>
    </row>
    <row r="46" spans="1:80" x14ac:dyDescent="0.2">
      <c r="A46" s="863" t="s">
        <v>950</v>
      </c>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c r="BM46" s="865"/>
      <c r="BN46" s="880"/>
      <c r="BO46" s="881"/>
      <c r="BP46" s="881"/>
      <c r="BQ46" s="881"/>
      <c r="BR46" s="881"/>
      <c r="BS46" s="881"/>
      <c r="BT46" s="881"/>
      <c r="BU46" s="881"/>
      <c r="BV46" s="881"/>
      <c r="BW46" s="881"/>
      <c r="BX46" s="881"/>
      <c r="BY46" s="881"/>
      <c r="BZ46" s="882"/>
      <c r="CB46" s="210"/>
    </row>
    <row r="47" spans="1:80" ht="13.5" customHeight="1" x14ac:dyDescent="0.2">
      <c r="A47" s="886" t="s">
        <v>951</v>
      </c>
      <c r="B47" s="887"/>
      <c r="C47" s="887"/>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c r="AL47" s="887"/>
      <c r="AM47" s="887"/>
      <c r="AN47" s="887"/>
      <c r="AO47" s="887"/>
      <c r="AP47" s="887"/>
      <c r="AQ47" s="887"/>
      <c r="AR47" s="887"/>
      <c r="AS47" s="887"/>
      <c r="AT47" s="887"/>
      <c r="AU47" s="887"/>
      <c r="AV47" s="887"/>
      <c r="AW47" s="887"/>
      <c r="AX47" s="887"/>
      <c r="AY47" s="887"/>
      <c r="AZ47" s="887"/>
      <c r="BA47" s="887"/>
      <c r="BB47" s="887"/>
      <c r="BC47" s="887"/>
      <c r="BD47" s="887"/>
      <c r="BE47" s="887"/>
      <c r="BF47" s="887"/>
      <c r="BG47" s="887"/>
      <c r="BH47" s="887"/>
      <c r="BI47" s="887"/>
      <c r="BJ47" s="887"/>
      <c r="BK47" s="887"/>
      <c r="BL47" s="887"/>
      <c r="BM47" s="888"/>
      <c r="BN47" s="880"/>
      <c r="BO47" s="881"/>
      <c r="BP47" s="881"/>
      <c r="BQ47" s="881"/>
      <c r="BR47" s="881"/>
      <c r="BS47" s="881"/>
      <c r="BT47" s="881"/>
      <c r="BU47" s="881"/>
      <c r="BV47" s="881"/>
      <c r="BW47" s="881"/>
      <c r="BX47" s="881"/>
      <c r="BY47" s="881"/>
      <c r="BZ47" s="882"/>
      <c r="CB47" s="210"/>
    </row>
    <row r="48" spans="1:80" x14ac:dyDescent="0.2">
      <c r="A48" s="829" t="s">
        <v>952</v>
      </c>
      <c r="B48" s="830"/>
      <c r="C48" s="830"/>
      <c r="D48" s="830"/>
      <c r="E48" s="830"/>
      <c r="F48" s="830"/>
      <c r="G48" s="830"/>
      <c r="H48" s="830"/>
      <c r="I48" s="830"/>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c r="BF48" s="830"/>
      <c r="BG48" s="830"/>
      <c r="BH48" s="830"/>
      <c r="BI48" s="830"/>
      <c r="BJ48" s="830"/>
      <c r="BK48" s="830"/>
      <c r="BL48" s="830"/>
      <c r="BM48" s="831"/>
      <c r="BN48" s="880"/>
      <c r="BO48" s="881"/>
      <c r="BP48" s="881"/>
      <c r="BQ48" s="881"/>
      <c r="BR48" s="881"/>
      <c r="BS48" s="881"/>
      <c r="BT48" s="881"/>
      <c r="BU48" s="881"/>
      <c r="BV48" s="881"/>
      <c r="BW48" s="881"/>
      <c r="BX48" s="881"/>
      <c r="BY48" s="881"/>
      <c r="BZ48" s="882"/>
      <c r="CB48" s="210"/>
    </row>
    <row r="49" spans="1:80" x14ac:dyDescent="0.2">
      <c r="A49" s="902" t="s">
        <v>953</v>
      </c>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4"/>
      <c r="BN49" s="880"/>
      <c r="BO49" s="881"/>
      <c r="BP49" s="881"/>
      <c r="BQ49" s="881"/>
      <c r="BR49" s="881"/>
      <c r="BS49" s="881"/>
      <c r="BT49" s="881"/>
      <c r="BU49" s="881"/>
      <c r="BV49" s="881"/>
      <c r="BW49" s="881"/>
      <c r="BX49" s="881"/>
      <c r="BY49" s="881"/>
      <c r="BZ49" s="882"/>
      <c r="CB49" s="210"/>
    </row>
    <row r="50" spans="1:80" x14ac:dyDescent="0.2">
      <c r="A50" s="905"/>
      <c r="B50" s="906"/>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7"/>
      <c r="BN50" s="883"/>
      <c r="BO50" s="884"/>
      <c r="BP50" s="884"/>
      <c r="BQ50" s="884"/>
      <c r="BR50" s="884"/>
      <c r="BS50" s="884"/>
      <c r="BT50" s="884"/>
      <c r="BU50" s="884"/>
      <c r="BV50" s="884"/>
      <c r="BW50" s="884"/>
      <c r="BX50" s="884"/>
      <c r="BY50" s="884"/>
      <c r="BZ50" s="885"/>
      <c r="CB50" s="210"/>
    </row>
    <row r="51" spans="1:80" x14ac:dyDescent="0.2">
      <c r="A51" s="832" t="s">
        <v>954</v>
      </c>
      <c r="B51" s="833"/>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c r="AW51" s="833"/>
      <c r="AX51" s="833"/>
      <c r="AY51" s="833"/>
      <c r="AZ51" s="833"/>
      <c r="BA51" s="833"/>
      <c r="BB51" s="833"/>
      <c r="BC51" s="833"/>
      <c r="BD51" s="833"/>
      <c r="BE51" s="833"/>
      <c r="BF51" s="833"/>
      <c r="BG51" s="833"/>
      <c r="BH51" s="833"/>
      <c r="BI51" s="833"/>
      <c r="BJ51" s="833"/>
      <c r="BK51" s="833"/>
      <c r="BL51" s="833"/>
      <c r="BM51" s="834"/>
      <c r="BN51" s="581" t="s">
        <v>955</v>
      </c>
      <c r="BO51" s="582"/>
      <c r="BP51" s="582"/>
      <c r="BQ51" s="582"/>
      <c r="BR51" s="582"/>
      <c r="BS51" s="582"/>
      <c r="BT51" s="582"/>
      <c r="BU51" s="582"/>
      <c r="BV51" s="582"/>
      <c r="BW51" s="582"/>
      <c r="BX51" s="582"/>
      <c r="BY51" s="582"/>
      <c r="BZ51" s="583"/>
      <c r="CB51" s="210"/>
    </row>
    <row r="52" spans="1:80" x14ac:dyDescent="0.2">
      <c r="A52" s="814" t="s">
        <v>956</v>
      </c>
      <c r="B52" s="815"/>
      <c r="C52" s="815"/>
      <c r="D52" s="815"/>
      <c r="E52" s="815"/>
      <c r="F52" s="815"/>
      <c r="G52" s="815"/>
      <c r="H52" s="815"/>
      <c r="I52" s="815"/>
      <c r="J52" s="815"/>
      <c r="K52" s="815"/>
      <c r="L52" s="815"/>
      <c r="M52" s="815"/>
      <c r="N52" s="815"/>
      <c r="O52" s="815"/>
      <c r="P52" s="816"/>
      <c r="Q52" s="860" t="s">
        <v>957</v>
      </c>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2"/>
      <c r="BN52" s="860" t="s">
        <v>958</v>
      </c>
      <c r="BO52" s="861"/>
      <c r="BP52" s="861"/>
      <c r="BQ52" s="861"/>
      <c r="BR52" s="861"/>
      <c r="BS52" s="861"/>
      <c r="BT52" s="861"/>
      <c r="BU52" s="861"/>
      <c r="BV52" s="862"/>
      <c r="BW52" s="860" t="s">
        <v>959</v>
      </c>
      <c r="BX52" s="861"/>
      <c r="BY52" s="861"/>
      <c r="BZ52" s="862"/>
      <c r="CB52" s="210"/>
    </row>
    <row r="53" spans="1:80" ht="12" customHeight="1" x14ac:dyDescent="0.2">
      <c r="A53" s="914">
        <f>StartDate</f>
        <v>0</v>
      </c>
      <c r="B53" s="915"/>
      <c r="C53" s="915"/>
      <c r="D53" s="915"/>
      <c r="E53" s="915"/>
      <c r="F53" s="915"/>
      <c r="G53" s="915"/>
      <c r="H53" s="915"/>
      <c r="I53" s="915"/>
      <c r="J53" s="915"/>
      <c r="K53" s="915"/>
      <c r="L53" s="915"/>
      <c r="M53" s="915"/>
      <c r="N53" s="915"/>
      <c r="O53" s="915"/>
      <c r="P53" s="916"/>
      <c r="Q53" s="914">
        <f>EndDate</f>
        <v>0</v>
      </c>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c r="AO53" s="915"/>
      <c r="AP53" s="915"/>
      <c r="AQ53" s="915"/>
      <c r="AR53" s="915"/>
      <c r="AS53" s="915"/>
      <c r="AT53" s="915"/>
      <c r="AU53" s="915"/>
      <c r="AV53" s="915"/>
      <c r="AW53" s="915"/>
      <c r="AX53" s="915"/>
      <c r="AY53" s="915"/>
      <c r="AZ53" s="915"/>
      <c r="BA53" s="915"/>
      <c r="BB53" s="915"/>
      <c r="BC53" s="915"/>
      <c r="BD53" s="915"/>
      <c r="BE53" s="915"/>
      <c r="BF53" s="915"/>
      <c r="BG53" s="915"/>
      <c r="BH53" s="915"/>
      <c r="BI53" s="915"/>
      <c r="BJ53" s="915"/>
      <c r="BK53" s="915"/>
      <c r="BL53" s="915"/>
      <c r="BM53" s="916"/>
      <c r="BN53" s="835" t="s">
        <v>960</v>
      </c>
      <c r="BO53" s="818"/>
      <c r="BP53" s="818"/>
      <c r="BQ53" s="818"/>
      <c r="BR53" s="818"/>
      <c r="BS53" s="818"/>
      <c r="BT53" s="818"/>
      <c r="BU53" s="818"/>
      <c r="BV53" s="819"/>
      <c r="BW53" s="835" t="s">
        <v>960</v>
      </c>
      <c r="BX53" s="818"/>
      <c r="BY53" s="818"/>
      <c r="BZ53" s="819"/>
      <c r="CB53" s="210"/>
    </row>
    <row r="54" spans="1:80" x14ac:dyDescent="0.2">
      <c r="A54" s="829" t="s">
        <v>961</v>
      </c>
      <c r="B54" s="830"/>
      <c r="C54" s="830"/>
      <c r="D54" s="830"/>
      <c r="E54" s="830"/>
      <c r="F54" s="830"/>
      <c r="G54" s="830"/>
      <c r="H54" s="830"/>
      <c r="I54" s="830"/>
      <c r="J54" s="830"/>
      <c r="K54" s="830"/>
      <c r="L54" s="830"/>
      <c r="M54" s="830"/>
      <c r="N54" s="830"/>
      <c r="O54" s="830"/>
      <c r="P54" s="830"/>
      <c r="Q54" s="830"/>
      <c r="R54" s="830"/>
      <c r="S54" s="830"/>
      <c r="T54" s="830"/>
      <c r="U54" s="830"/>
      <c r="V54" s="830"/>
      <c r="W54" s="830"/>
      <c r="X54" s="830"/>
      <c r="Y54" s="830"/>
      <c r="Z54" s="830"/>
      <c r="AA54" s="830"/>
      <c r="AB54" s="830"/>
      <c r="AC54" s="830"/>
      <c r="AD54" s="830"/>
      <c r="AE54" s="830"/>
      <c r="AF54" s="830"/>
      <c r="AG54" s="830"/>
      <c r="AH54" s="830"/>
      <c r="AI54" s="830"/>
      <c r="AJ54" s="830"/>
      <c r="AK54" s="830"/>
      <c r="AL54" s="830"/>
      <c r="AM54" s="830"/>
      <c r="AN54" s="830"/>
      <c r="AO54" s="830"/>
      <c r="AP54" s="830"/>
      <c r="AQ54" s="830"/>
      <c r="AR54" s="830"/>
      <c r="AS54" s="830"/>
      <c r="AT54" s="830"/>
      <c r="AU54" s="830"/>
      <c r="AV54" s="830"/>
      <c r="AW54" s="830"/>
      <c r="AX54" s="830"/>
      <c r="AY54" s="830"/>
      <c r="AZ54" s="830"/>
      <c r="BA54" s="830"/>
      <c r="BB54" s="830"/>
      <c r="BC54" s="830"/>
      <c r="BD54" s="830"/>
      <c r="BE54" s="830"/>
      <c r="BF54" s="830"/>
      <c r="BG54" s="830"/>
      <c r="BH54" s="830"/>
      <c r="BI54" s="830"/>
      <c r="BJ54" s="830"/>
      <c r="BK54" s="830"/>
      <c r="BL54" s="830"/>
      <c r="BM54" s="831"/>
      <c r="BN54" s="895" t="s">
        <v>962</v>
      </c>
      <c r="BO54" s="896"/>
      <c r="BP54" s="896"/>
      <c r="BQ54" s="896"/>
      <c r="BR54" s="896"/>
      <c r="BS54" s="896"/>
      <c r="BT54" s="896"/>
      <c r="BU54" s="896"/>
      <c r="BV54" s="896"/>
      <c r="BW54" s="896"/>
      <c r="BX54" s="896"/>
      <c r="BY54" s="896"/>
      <c r="BZ54" s="897"/>
      <c r="CB54" s="210"/>
    </row>
    <row r="55" spans="1:80" ht="13.5" customHeight="1" x14ac:dyDescent="0.2">
      <c r="A55" s="817"/>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8"/>
      <c r="AY55" s="818"/>
      <c r="AZ55" s="818"/>
      <c r="BA55" s="818"/>
      <c r="BB55" s="818"/>
      <c r="BC55" s="818"/>
      <c r="BD55" s="818"/>
      <c r="BE55" s="818"/>
      <c r="BF55" s="818"/>
      <c r="BG55" s="818"/>
      <c r="BH55" s="818"/>
      <c r="BI55" s="818"/>
      <c r="BJ55" s="818"/>
      <c r="BK55" s="818"/>
      <c r="BL55" s="818"/>
      <c r="BM55" s="819"/>
      <c r="BN55" s="898"/>
      <c r="BO55" s="899"/>
      <c r="BP55" s="899"/>
      <c r="BQ55" s="899"/>
      <c r="BR55" s="899"/>
      <c r="BS55" s="899"/>
      <c r="BT55" s="899"/>
      <c r="BU55" s="899"/>
      <c r="BV55" s="899"/>
      <c r="BW55" s="899"/>
      <c r="BX55" s="899"/>
      <c r="BY55" s="899"/>
      <c r="BZ55" s="900"/>
      <c r="CB55" s="210"/>
    </row>
    <row r="56" spans="1:80" x14ac:dyDescent="0.2">
      <c r="A56" s="860" t="s">
        <v>963</v>
      </c>
      <c r="B56" s="861"/>
      <c r="C56" s="861"/>
      <c r="D56" s="861"/>
      <c r="E56" s="861"/>
      <c r="F56" s="861"/>
      <c r="G56" s="861"/>
      <c r="H56" s="861"/>
      <c r="I56" s="861"/>
      <c r="J56" s="861"/>
      <c r="K56" s="861"/>
      <c r="L56" s="861"/>
      <c r="M56" s="861"/>
      <c r="N56" s="861"/>
      <c r="O56" s="861"/>
      <c r="P56" s="862"/>
      <c r="Q56" s="889" t="e">
        <f>'FedSum All'!E44</f>
        <v>#REF!</v>
      </c>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0"/>
      <c r="AY56" s="890"/>
      <c r="AZ56" s="890"/>
      <c r="BA56" s="890"/>
      <c r="BB56" s="890"/>
      <c r="BC56" s="890"/>
      <c r="BD56" s="890"/>
      <c r="BE56" s="890"/>
      <c r="BF56" s="890"/>
      <c r="BG56" s="890"/>
      <c r="BH56" s="890"/>
      <c r="BI56" s="890"/>
      <c r="BJ56" s="890"/>
      <c r="BK56" s="890"/>
      <c r="BL56" s="890"/>
      <c r="BM56" s="891"/>
      <c r="BN56" s="573"/>
      <c r="BZ56" s="232"/>
      <c r="CB56" s="210"/>
    </row>
    <row r="57" spans="1:80" ht="12" customHeight="1" x14ac:dyDescent="0.2">
      <c r="A57" s="817"/>
      <c r="B57" s="818"/>
      <c r="C57" s="818"/>
      <c r="D57" s="818"/>
      <c r="E57" s="818"/>
      <c r="F57" s="818"/>
      <c r="G57" s="818"/>
      <c r="H57" s="818"/>
      <c r="I57" s="818"/>
      <c r="J57" s="818"/>
      <c r="K57" s="818"/>
      <c r="L57" s="818"/>
      <c r="M57" s="818"/>
      <c r="N57" s="818"/>
      <c r="O57" s="818"/>
      <c r="P57" s="819"/>
      <c r="Q57" s="892"/>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3"/>
      <c r="AY57" s="893"/>
      <c r="AZ57" s="893"/>
      <c r="BA57" s="893"/>
      <c r="BB57" s="893"/>
      <c r="BC57" s="893"/>
      <c r="BD57" s="893"/>
      <c r="BE57" s="893"/>
      <c r="BF57" s="893"/>
      <c r="BG57" s="893"/>
      <c r="BH57" s="893"/>
      <c r="BI57" s="893"/>
      <c r="BJ57" s="893"/>
      <c r="BK57" s="893"/>
      <c r="BL57" s="893"/>
      <c r="BM57" s="894"/>
      <c r="BN57" s="573"/>
      <c r="BO57" s="901" t="s">
        <v>964</v>
      </c>
      <c r="BP57" s="901"/>
      <c r="BQ57" s="614"/>
      <c r="BR57" s="614"/>
      <c r="BS57" s="614"/>
      <c r="BT57" s="901" t="s">
        <v>965</v>
      </c>
      <c r="BU57" s="901"/>
      <c r="BV57" s="901"/>
      <c r="BW57" s="901"/>
      <c r="BX57" s="901"/>
      <c r="BY57" s="901"/>
      <c r="BZ57" s="232"/>
      <c r="CB57" s="210"/>
    </row>
    <row r="58" spans="1:80" x14ac:dyDescent="0.2">
      <c r="A58" s="860" t="s">
        <v>966</v>
      </c>
      <c r="B58" s="861"/>
      <c r="C58" s="861"/>
      <c r="D58" s="861"/>
      <c r="E58" s="861"/>
      <c r="F58" s="861"/>
      <c r="G58" s="861"/>
      <c r="H58" s="861"/>
      <c r="I58" s="861"/>
      <c r="J58" s="861"/>
      <c r="K58" s="861"/>
      <c r="L58" s="861"/>
      <c r="M58" s="861"/>
      <c r="N58" s="861"/>
      <c r="O58" s="861"/>
      <c r="P58" s="862"/>
      <c r="Q58" s="889" t="e">
        <f>'FedSum All'!G44</f>
        <v>#REF!</v>
      </c>
      <c r="R58" s="890"/>
      <c r="S58" s="890"/>
      <c r="T58" s="890"/>
      <c r="U58" s="890"/>
      <c r="V58" s="890"/>
      <c r="W58" s="890"/>
      <c r="X58" s="890"/>
      <c r="Y58" s="890"/>
      <c r="Z58" s="890"/>
      <c r="AA58" s="890"/>
      <c r="AB58" s="890"/>
      <c r="AC58" s="890"/>
      <c r="AD58" s="890"/>
      <c r="AE58" s="890"/>
      <c r="AF58" s="890"/>
      <c r="AG58" s="890"/>
      <c r="AH58" s="890"/>
      <c r="AI58" s="890"/>
      <c r="AJ58" s="890"/>
      <c r="AK58" s="890"/>
      <c r="AL58" s="890"/>
      <c r="AM58" s="890"/>
      <c r="AN58" s="890"/>
      <c r="AO58" s="890"/>
      <c r="AP58" s="890"/>
      <c r="AQ58" s="890"/>
      <c r="AR58" s="890"/>
      <c r="AS58" s="890"/>
      <c r="AT58" s="890"/>
      <c r="AU58" s="890"/>
      <c r="AV58" s="890"/>
      <c r="AW58" s="890"/>
      <c r="AX58" s="890"/>
      <c r="AY58" s="890"/>
      <c r="AZ58" s="890"/>
      <c r="BA58" s="890"/>
      <c r="BB58" s="890"/>
      <c r="BC58" s="890"/>
      <c r="BD58" s="890"/>
      <c r="BE58" s="890"/>
      <c r="BF58" s="890"/>
      <c r="BG58" s="890"/>
      <c r="BH58" s="890"/>
      <c r="BI58" s="890"/>
      <c r="BJ58" s="890"/>
      <c r="BK58" s="890"/>
      <c r="BL58" s="890"/>
      <c r="BM58" s="891"/>
      <c r="BN58" s="573"/>
      <c r="BT58" s="901"/>
      <c r="BU58" s="901"/>
      <c r="BV58" s="901"/>
      <c r="BW58" s="901"/>
      <c r="BX58" s="901"/>
      <c r="BY58" s="901"/>
      <c r="BZ58" s="232"/>
      <c r="CB58" s="210"/>
    </row>
    <row r="59" spans="1:80" ht="12" customHeight="1" x14ac:dyDescent="0.2">
      <c r="A59" s="817"/>
      <c r="B59" s="818"/>
      <c r="C59" s="818"/>
      <c r="D59" s="818"/>
      <c r="E59" s="818"/>
      <c r="F59" s="818"/>
      <c r="G59" s="818"/>
      <c r="H59" s="818"/>
      <c r="I59" s="818"/>
      <c r="J59" s="818"/>
      <c r="K59" s="818"/>
      <c r="L59" s="818"/>
      <c r="M59" s="818"/>
      <c r="N59" s="818"/>
      <c r="O59" s="818"/>
      <c r="P59" s="819"/>
      <c r="Q59" s="892"/>
      <c r="R59" s="893"/>
      <c r="S59" s="893"/>
      <c r="T59" s="893"/>
      <c r="U59" s="893"/>
      <c r="V59" s="893"/>
      <c r="W59" s="893"/>
      <c r="X59" s="893"/>
      <c r="Y59" s="893"/>
      <c r="Z59" s="893"/>
      <c r="AA59" s="893"/>
      <c r="AB59" s="893"/>
      <c r="AC59" s="893"/>
      <c r="AD59" s="893"/>
      <c r="AE59" s="893"/>
      <c r="AF59" s="893"/>
      <c r="AG59" s="893"/>
      <c r="AH59" s="893"/>
      <c r="AI59" s="893"/>
      <c r="AJ59" s="893"/>
      <c r="AK59" s="893"/>
      <c r="AL59" s="893"/>
      <c r="AM59" s="893"/>
      <c r="AN59" s="893"/>
      <c r="AO59" s="893"/>
      <c r="AP59" s="893"/>
      <c r="AQ59" s="893"/>
      <c r="AR59" s="893"/>
      <c r="AS59" s="893"/>
      <c r="AT59" s="893"/>
      <c r="AU59" s="893"/>
      <c r="AV59" s="893"/>
      <c r="AW59" s="893"/>
      <c r="AX59" s="893"/>
      <c r="AY59" s="893"/>
      <c r="AZ59" s="893"/>
      <c r="BA59" s="893"/>
      <c r="BB59" s="893"/>
      <c r="BC59" s="893"/>
      <c r="BD59" s="893"/>
      <c r="BE59" s="893"/>
      <c r="BF59" s="893"/>
      <c r="BG59" s="893"/>
      <c r="BH59" s="893"/>
      <c r="BI59" s="893"/>
      <c r="BJ59" s="893"/>
      <c r="BK59" s="893"/>
      <c r="BL59" s="893"/>
      <c r="BM59" s="894"/>
      <c r="BN59" s="573"/>
      <c r="BT59" s="901"/>
      <c r="BU59" s="901"/>
      <c r="BV59" s="901"/>
      <c r="BW59" s="901"/>
      <c r="BX59" s="901"/>
      <c r="BY59" s="901"/>
      <c r="BZ59" s="232"/>
      <c r="CB59" s="210"/>
    </row>
    <row r="60" spans="1:80" x14ac:dyDescent="0.2">
      <c r="A60" s="860" t="s">
        <v>967</v>
      </c>
      <c r="B60" s="861"/>
      <c r="C60" s="861"/>
      <c r="D60" s="861"/>
      <c r="E60" s="861"/>
      <c r="F60" s="861"/>
      <c r="G60" s="861"/>
      <c r="H60" s="861"/>
      <c r="I60" s="861"/>
      <c r="J60" s="861"/>
      <c r="K60" s="861"/>
      <c r="L60" s="861"/>
      <c r="M60" s="861"/>
      <c r="N60" s="861"/>
      <c r="O60" s="861"/>
      <c r="P60" s="862"/>
      <c r="Q60" s="908">
        <v>0</v>
      </c>
      <c r="R60" s="909"/>
      <c r="S60" s="909"/>
      <c r="T60" s="909"/>
      <c r="U60" s="909"/>
      <c r="V60" s="909"/>
      <c r="W60" s="909"/>
      <c r="X60" s="909"/>
      <c r="Y60" s="909"/>
      <c r="Z60" s="909"/>
      <c r="AA60" s="909"/>
      <c r="AB60" s="909"/>
      <c r="AC60" s="909"/>
      <c r="AD60" s="909"/>
      <c r="AE60" s="909"/>
      <c r="AF60" s="909"/>
      <c r="AG60" s="909"/>
      <c r="AH60" s="909"/>
      <c r="AI60" s="909"/>
      <c r="AJ60" s="909"/>
      <c r="AK60" s="909"/>
      <c r="AL60" s="909"/>
      <c r="AM60" s="909"/>
      <c r="AN60" s="909"/>
      <c r="AO60" s="909"/>
      <c r="AP60" s="909"/>
      <c r="AQ60" s="909"/>
      <c r="AR60" s="909"/>
      <c r="AS60" s="909"/>
      <c r="AT60" s="909"/>
      <c r="AU60" s="909"/>
      <c r="AV60" s="909"/>
      <c r="AW60" s="909"/>
      <c r="AX60" s="909"/>
      <c r="AY60" s="909"/>
      <c r="AZ60" s="909"/>
      <c r="BA60" s="909"/>
      <c r="BB60" s="909"/>
      <c r="BC60" s="909"/>
      <c r="BD60" s="909"/>
      <c r="BE60" s="909"/>
      <c r="BF60" s="909"/>
      <c r="BG60" s="909"/>
      <c r="BH60" s="909"/>
      <c r="BI60" s="909"/>
      <c r="BJ60" s="909"/>
      <c r="BK60" s="909"/>
      <c r="BL60" s="909"/>
      <c r="BM60" s="910"/>
      <c r="BN60" s="573"/>
      <c r="BZ60" s="232"/>
      <c r="CB60" s="210"/>
    </row>
    <row r="61" spans="1:80" ht="12" customHeight="1" x14ac:dyDescent="0.2">
      <c r="A61" s="817"/>
      <c r="B61" s="818"/>
      <c r="C61" s="818"/>
      <c r="D61" s="818"/>
      <c r="E61" s="818"/>
      <c r="F61" s="818"/>
      <c r="G61" s="818"/>
      <c r="H61" s="818"/>
      <c r="I61" s="818"/>
      <c r="J61" s="818"/>
      <c r="K61" s="818"/>
      <c r="L61" s="818"/>
      <c r="M61" s="818"/>
      <c r="N61" s="818"/>
      <c r="O61" s="818"/>
      <c r="P61" s="819"/>
      <c r="Q61" s="911"/>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912"/>
      <c r="BH61" s="912"/>
      <c r="BI61" s="912"/>
      <c r="BJ61" s="912"/>
      <c r="BK61" s="912"/>
      <c r="BL61" s="912"/>
      <c r="BM61" s="913"/>
      <c r="BN61" s="573"/>
      <c r="BT61" s="815" t="s">
        <v>968</v>
      </c>
      <c r="BU61" s="815"/>
      <c r="BV61" s="815"/>
      <c r="BW61" s="815"/>
      <c r="BX61" s="815"/>
      <c r="BY61" s="815"/>
      <c r="BZ61" s="232"/>
      <c r="CB61" s="210"/>
    </row>
    <row r="62" spans="1:80" ht="10.199999999999999" thickBot="1" x14ac:dyDescent="0.25">
      <c r="A62" s="860" t="s">
        <v>969</v>
      </c>
      <c r="B62" s="861"/>
      <c r="C62" s="861"/>
      <c r="D62" s="861"/>
      <c r="E62" s="861"/>
      <c r="F62" s="861"/>
      <c r="G62" s="861"/>
      <c r="H62" s="861"/>
      <c r="I62" s="861"/>
      <c r="J62" s="861"/>
      <c r="K62" s="861"/>
      <c r="L62" s="861"/>
      <c r="M62" s="861"/>
      <c r="N62" s="861"/>
      <c r="O62" s="861"/>
      <c r="P62" s="862"/>
      <c r="Q62" s="908">
        <v>0</v>
      </c>
      <c r="R62" s="909"/>
      <c r="S62" s="909"/>
      <c r="T62" s="909"/>
      <c r="U62" s="909"/>
      <c r="V62" s="909"/>
      <c r="W62" s="909"/>
      <c r="X62" s="909"/>
      <c r="Y62" s="909"/>
      <c r="Z62" s="909"/>
      <c r="AA62" s="909"/>
      <c r="AB62" s="909"/>
      <c r="AC62" s="909"/>
      <c r="AD62" s="909"/>
      <c r="AE62" s="909"/>
      <c r="AF62" s="909"/>
      <c r="AG62" s="909"/>
      <c r="AH62" s="909"/>
      <c r="AI62" s="909"/>
      <c r="AJ62" s="909"/>
      <c r="AK62" s="909"/>
      <c r="AL62" s="909"/>
      <c r="AM62" s="909"/>
      <c r="AN62" s="909"/>
      <c r="AO62" s="909"/>
      <c r="AP62" s="909"/>
      <c r="AQ62" s="909"/>
      <c r="AR62" s="909"/>
      <c r="AS62" s="909"/>
      <c r="AT62" s="909"/>
      <c r="AU62" s="909"/>
      <c r="AV62" s="909"/>
      <c r="AW62" s="909"/>
      <c r="AX62" s="909"/>
      <c r="AY62" s="909"/>
      <c r="AZ62" s="909"/>
      <c r="BA62" s="909"/>
      <c r="BB62" s="909"/>
      <c r="BC62" s="909"/>
      <c r="BD62" s="909"/>
      <c r="BE62" s="909"/>
      <c r="BF62" s="909"/>
      <c r="BG62" s="909"/>
      <c r="BH62" s="909"/>
      <c r="BI62" s="909"/>
      <c r="BJ62" s="909"/>
      <c r="BK62" s="909"/>
      <c r="BL62" s="909"/>
      <c r="BM62" s="910"/>
      <c r="BN62" s="573"/>
      <c r="BZ62" s="232"/>
      <c r="CB62" s="210"/>
    </row>
    <row r="63" spans="1:80" ht="12" customHeight="1" thickBot="1" x14ac:dyDescent="0.25">
      <c r="A63" s="817"/>
      <c r="B63" s="818"/>
      <c r="C63" s="818"/>
      <c r="D63" s="818"/>
      <c r="E63" s="818"/>
      <c r="F63" s="818"/>
      <c r="G63" s="818"/>
      <c r="H63" s="818"/>
      <c r="I63" s="818"/>
      <c r="J63" s="818"/>
      <c r="K63" s="818"/>
      <c r="L63" s="818"/>
      <c r="M63" s="818"/>
      <c r="N63" s="818"/>
      <c r="O63" s="818"/>
      <c r="P63" s="819"/>
      <c r="Q63" s="911"/>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2"/>
      <c r="AY63" s="912"/>
      <c r="AZ63" s="912"/>
      <c r="BA63" s="912"/>
      <c r="BB63" s="912"/>
      <c r="BC63" s="912"/>
      <c r="BD63" s="912"/>
      <c r="BE63" s="912"/>
      <c r="BF63" s="912"/>
      <c r="BG63" s="912"/>
      <c r="BH63" s="912"/>
      <c r="BI63" s="912"/>
      <c r="BJ63" s="912"/>
      <c r="BK63" s="912"/>
      <c r="BL63" s="912"/>
      <c r="BM63" s="913"/>
      <c r="BN63" s="573"/>
      <c r="BO63" s="815" t="s">
        <v>970</v>
      </c>
      <c r="BP63" s="815"/>
      <c r="BR63" s="233" t="s">
        <v>938</v>
      </c>
      <c r="BT63" s="815" t="s">
        <v>971</v>
      </c>
      <c r="BU63" s="815"/>
      <c r="BV63" s="815"/>
      <c r="BW63" s="815"/>
      <c r="BX63" s="815"/>
      <c r="BY63" s="815"/>
      <c r="BZ63" s="232"/>
      <c r="CB63" s="210"/>
    </row>
    <row r="64" spans="1:80" ht="10.199999999999999" thickBot="1" x14ac:dyDescent="0.25">
      <c r="A64" s="860" t="s">
        <v>972</v>
      </c>
      <c r="B64" s="861"/>
      <c r="C64" s="861"/>
      <c r="D64" s="861"/>
      <c r="E64" s="861"/>
      <c r="F64" s="861"/>
      <c r="G64" s="861"/>
      <c r="H64" s="861"/>
      <c r="I64" s="861"/>
      <c r="J64" s="861"/>
      <c r="K64" s="861"/>
      <c r="L64" s="861"/>
      <c r="M64" s="861"/>
      <c r="N64" s="861"/>
      <c r="O64" s="861"/>
      <c r="P64" s="862"/>
      <c r="Q64" s="889">
        <f>'FedSum All'!I44</f>
        <v>0</v>
      </c>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0"/>
      <c r="AY64" s="890"/>
      <c r="AZ64" s="890"/>
      <c r="BA64" s="890"/>
      <c r="BB64" s="890"/>
      <c r="BC64" s="890"/>
      <c r="BD64" s="890"/>
      <c r="BE64" s="890"/>
      <c r="BF64" s="890"/>
      <c r="BG64" s="890"/>
      <c r="BH64" s="890"/>
      <c r="BI64" s="890"/>
      <c r="BJ64" s="890"/>
      <c r="BK64" s="890"/>
      <c r="BL64" s="890"/>
      <c r="BM64" s="891"/>
      <c r="BN64" s="573"/>
      <c r="BZ64" s="232"/>
      <c r="CB64" s="210"/>
    </row>
    <row r="65" spans="1:80" ht="12" customHeight="1" thickBot="1" x14ac:dyDescent="0.25">
      <c r="A65" s="817"/>
      <c r="B65" s="818"/>
      <c r="C65" s="818"/>
      <c r="D65" s="818"/>
      <c r="E65" s="818"/>
      <c r="F65" s="818"/>
      <c r="G65" s="818"/>
      <c r="H65" s="818"/>
      <c r="I65" s="818"/>
      <c r="J65" s="818"/>
      <c r="K65" s="818"/>
      <c r="L65" s="818"/>
      <c r="M65" s="818"/>
      <c r="N65" s="818"/>
      <c r="O65" s="818"/>
      <c r="P65" s="819"/>
      <c r="Q65" s="892"/>
      <c r="R65" s="893"/>
      <c r="S65" s="893"/>
      <c r="T65" s="893"/>
      <c r="U65" s="893"/>
      <c r="V65" s="893"/>
      <c r="W65" s="893"/>
      <c r="X65" s="893"/>
      <c r="Y65" s="893"/>
      <c r="Z65" s="893"/>
      <c r="AA65" s="893"/>
      <c r="AB65" s="893"/>
      <c r="AC65" s="893"/>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4"/>
      <c r="BN65" s="573"/>
      <c r="BR65" s="234"/>
      <c r="BT65" s="901" t="s">
        <v>973</v>
      </c>
      <c r="BU65" s="901"/>
      <c r="BV65" s="901"/>
      <c r="BW65" s="901"/>
      <c r="BX65" s="901"/>
      <c r="BY65" s="901"/>
      <c r="BZ65" s="232"/>
      <c r="CB65" s="210"/>
    </row>
    <row r="66" spans="1:80" x14ac:dyDescent="0.2">
      <c r="A66" s="860" t="s">
        <v>974</v>
      </c>
      <c r="B66" s="861"/>
      <c r="C66" s="861"/>
      <c r="D66" s="861"/>
      <c r="E66" s="861"/>
      <c r="F66" s="861"/>
      <c r="G66" s="861"/>
      <c r="H66" s="861"/>
      <c r="I66" s="861"/>
      <c r="J66" s="861"/>
      <c r="K66" s="861"/>
      <c r="L66" s="861"/>
      <c r="M66" s="861"/>
      <c r="N66" s="861"/>
      <c r="O66" s="861"/>
      <c r="P66" s="862"/>
      <c r="Q66" s="908">
        <v>0</v>
      </c>
      <c r="R66" s="909"/>
      <c r="S66" s="909"/>
      <c r="T66" s="909"/>
      <c r="U66" s="909"/>
      <c r="V66" s="909"/>
      <c r="W66" s="909"/>
      <c r="X66" s="909"/>
      <c r="Y66" s="909"/>
      <c r="Z66" s="909"/>
      <c r="AA66" s="909"/>
      <c r="AB66" s="909"/>
      <c r="AC66" s="909"/>
      <c r="AD66" s="909"/>
      <c r="AE66" s="909"/>
      <c r="AF66" s="909"/>
      <c r="AG66" s="909"/>
      <c r="AH66" s="909"/>
      <c r="AI66" s="909"/>
      <c r="AJ66" s="909"/>
      <c r="AK66" s="909"/>
      <c r="AL66" s="909"/>
      <c r="AM66" s="909"/>
      <c r="AN66" s="909"/>
      <c r="AO66" s="909"/>
      <c r="AP66" s="909"/>
      <c r="AQ66" s="909"/>
      <c r="AR66" s="909"/>
      <c r="AS66" s="909"/>
      <c r="AT66" s="909"/>
      <c r="AU66" s="909"/>
      <c r="AV66" s="909"/>
      <c r="AW66" s="909"/>
      <c r="AX66" s="909"/>
      <c r="AY66" s="909"/>
      <c r="AZ66" s="909"/>
      <c r="BA66" s="909"/>
      <c r="BB66" s="909"/>
      <c r="BC66" s="909"/>
      <c r="BD66" s="909"/>
      <c r="BE66" s="909"/>
      <c r="BF66" s="909"/>
      <c r="BG66" s="909"/>
      <c r="BH66" s="909"/>
      <c r="BI66" s="909"/>
      <c r="BJ66" s="909"/>
      <c r="BK66" s="909"/>
      <c r="BL66" s="909"/>
      <c r="BM66" s="910"/>
      <c r="BN66" s="574"/>
      <c r="BO66" s="575"/>
      <c r="BP66" s="575"/>
      <c r="BQ66" s="575"/>
      <c r="BR66" s="575"/>
      <c r="BS66" s="575"/>
      <c r="BT66" s="923"/>
      <c r="BU66" s="923"/>
      <c r="BV66" s="923"/>
      <c r="BW66" s="923"/>
      <c r="BX66" s="923"/>
      <c r="BY66" s="923"/>
      <c r="BZ66" s="576"/>
      <c r="CB66" s="210"/>
    </row>
    <row r="67" spans="1:80" ht="12" customHeight="1" x14ac:dyDescent="0.2">
      <c r="A67" s="817"/>
      <c r="B67" s="818"/>
      <c r="C67" s="818"/>
      <c r="D67" s="818"/>
      <c r="E67" s="818"/>
      <c r="F67" s="818"/>
      <c r="G67" s="818"/>
      <c r="H67" s="818"/>
      <c r="I67" s="818"/>
      <c r="J67" s="818"/>
      <c r="K67" s="818"/>
      <c r="L67" s="818"/>
      <c r="M67" s="818"/>
      <c r="N67" s="818"/>
      <c r="O67" s="818"/>
      <c r="P67" s="819"/>
      <c r="Q67" s="911"/>
      <c r="R67" s="912"/>
      <c r="S67" s="912"/>
      <c r="T67" s="912"/>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2"/>
      <c r="AV67" s="912"/>
      <c r="AW67" s="912"/>
      <c r="AX67" s="912"/>
      <c r="AY67" s="912"/>
      <c r="AZ67" s="912"/>
      <c r="BA67" s="912"/>
      <c r="BB67" s="912"/>
      <c r="BC67" s="912"/>
      <c r="BD67" s="912"/>
      <c r="BE67" s="912"/>
      <c r="BF67" s="912"/>
      <c r="BG67" s="912"/>
      <c r="BH67" s="912"/>
      <c r="BI67" s="912"/>
      <c r="BJ67" s="912"/>
      <c r="BK67" s="912"/>
      <c r="BL67" s="912"/>
      <c r="BM67" s="913"/>
      <c r="BN67" s="839" t="s">
        <v>975</v>
      </c>
      <c r="BO67" s="840"/>
      <c r="BP67" s="840"/>
      <c r="BQ67" s="840"/>
      <c r="BR67" s="840"/>
      <c r="BS67" s="840"/>
      <c r="BT67" s="840"/>
      <c r="BU67" s="840"/>
      <c r="BV67" s="840"/>
      <c r="BW67" s="840"/>
      <c r="BX67" s="840"/>
      <c r="BY67" s="840"/>
      <c r="BZ67" s="841"/>
      <c r="CB67" s="210"/>
    </row>
    <row r="68" spans="1:80" ht="10.199999999999999" thickBot="1" x14ac:dyDescent="0.25">
      <c r="A68" s="860" t="s">
        <v>976</v>
      </c>
      <c r="B68" s="861"/>
      <c r="C68" s="861"/>
      <c r="D68" s="861"/>
      <c r="E68" s="861"/>
      <c r="F68" s="861"/>
      <c r="G68" s="861"/>
      <c r="H68" s="861"/>
      <c r="I68" s="861"/>
      <c r="J68" s="861"/>
      <c r="K68" s="861"/>
      <c r="L68" s="861"/>
      <c r="M68" s="861"/>
      <c r="N68" s="861"/>
      <c r="O68" s="861"/>
      <c r="P68" s="862"/>
      <c r="Q68" s="889" t="e">
        <f>SUM(Q56:BM67)</f>
        <v>#REF!</v>
      </c>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90"/>
      <c r="AV68" s="890"/>
      <c r="AW68" s="890"/>
      <c r="AX68" s="890"/>
      <c r="AY68" s="890"/>
      <c r="AZ68" s="890"/>
      <c r="BA68" s="890"/>
      <c r="BB68" s="890"/>
      <c r="BC68" s="890"/>
      <c r="BD68" s="890"/>
      <c r="BE68" s="890"/>
      <c r="BF68" s="890"/>
      <c r="BG68" s="890"/>
      <c r="BH68" s="890"/>
      <c r="BI68" s="890"/>
      <c r="BJ68" s="890"/>
      <c r="BK68" s="890"/>
      <c r="BL68" s="890"/>
      <c r="BM68" s="891"/>
      <c r="BN68" s="573"/>
      <c r="BZ68" s="232"/>
      <c r="CB68" s="210"/>
    </row>
    <row r="69" spans="1:80" ht="9.75" customHeight="1" thickBot="1" x14ac:dyDescent="0.25">
      <c r="A69" s="814"/>
      <c r="B69" s="815"/>
      <c r="C69" s="815"/>
      <c r="D69" s="815"/>
      <c r="E69" s="815"/>
      <c r="F69" s="815"/>
      <c r="G69" s="815"/>
      <c r="H69" s="815"/>
      <c r="I69" s="815"/>
      <c r="J69" s="815"/>
      <c r="K69" s="815"/>
      <c r="L69" s="815"/>
      <c r="M69" s="815"/>
      <c r="N69" s="815"/>
      <c r="O69" s="815"/>
      <c r="P69" s="816"/>
      <c r="Q69" s="917"/>
      <c r="R69" s="918"/>
      <c r="S69" s="918"/>
      <c r="T69" s="918"/>
      <c r="U69" s="918"/>
      <c r="V69" s="918"/>
      <c r="W69" s="918"/>
      <c r="X69" s="918"/>
      <c r="Y69" s="918"/>
      <c r="Z69" s="918"/>
      <c r="AA69" s="918"/>
      <c r="AB69" s="918"/>
      <c r="AC69" s="918"/>
      <c r="AD69" s="918"/>
      <c r="AE69" s="918"/>
      <c r="AF69" s="918"/>
      <c r="AG69" s="918"/>
      <c r="AH69" s="918"/>
      <c r="AI69" s="918"/>
      <c r="AJ69" s="918"/>
      <c r="AK69" s="918"/>
      <c r="AL69" s="918"/>
      <c r="AM69" s="918"/>
      <c r="AN69" s="918"/>
      <c r="AO69" s="918"/>
      <c r="AP69" s="918"/>
      <c r="AQ69" s="918"/>
      <c r="AR69" s="918"/>
      <c r="AS69" s="918"/>
      <c r="AT69" s="918"/>
      <c r="AU69" s="918"/>
      <c r="AV69" s="918"/>
      <c r="AW69" s="918"/>
      <c r="AX69" s="918"/>
      <c r="AY69" s="918"/>
      <c r="AZ69" s="918"/>
      <c r="BA69" s="918"/>
      <c r="BB69" s="918"/>
      <c r="BC69" s="918"/>
      <c r="BD69" s="918"/>
      <c r="BE69" s="918"/>
      <c r="BF69" s="918"/>
      <c r="BG69" s="918"/>
      <c r="BH69" s="918"/>
      <c r="BI69" s="918"/>
      <c r="BJ69" s="918"/>
      <c r="BK69" s="918"/>
      <c r="BL69" s="918"/>
      <c r="BM69" s="919"/>
      <c r="BN69" s="573"/>
      <c r="BO69" s="233"/>
      <c r="BP69" s="924" t="s">
        <v>977</v>
      </c>
      <c r="BQ69" s="821"/>
      <c r="BR69" s="821"/>
      <c r="BS69" s="821"/>
      <c r="BT69" s="821"/>
      <c r="BU69" s="821"/>
      <c r="BV69" s="821"/>
      <c r="BW69" s="821"/>
      <c r="BY69" s="234" t="s">
        <v>938</v>
      </c>
      <c r="BZ69" s="578" t="s">
        <v>978</v>
      </c>
      <c r="CB69" s="210"/>
    </row>
    <row r="70" spans="1:80" ht="4.5" customHeight="1" x14ac:dyDescent="0.2">
      <c r="A70" s="814"/>
      <c r="B70" s="815"/>
      <c r="C70" s="815"/>
      <c r="D70" s="815"/>
      <c r="E70" s="815"/>
      <c r="F70" s="815"/>
      <c r="G70" s="815"/>
      <c r="H70" s="815"/>
      <c r="I70" s="815"/>
      <c r="J70" s="815"/>
      <c r="K70" s="815"/>
      <c r="L70" s="815"/>
      <c r="M70" s="815"/>
      <c r="N70" s="815"/>
      <c r="O70" s="815"/>
      <c r="P70" s="816"/>
      <c r="Q70" s="917"/>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8"/>
      <c r="AY70" s="918"/>
      <c r="AZ70" s="918"/>
      <c r="BA70" s="918"/>
      <c r="BB70" s="918"/>
      <c r="BC70" s="918"/>
      <c r="BD70" s="918"/>
      <c r="BE70" s="918"/>
      <c r="BF70" s="918"/>
      <c r="BG70" s="918"/>
      <c r="BH70" s="918"/>
      <c r="BI70" s="918"/>
      <c r="BJ70" s="918"/>
      <c r="BK70" s="918"/>
      <c r="BL70" s="918"/>
      <c r="BM70" s="919"/>
      <c r="BN70" s="573"/>
      <c r="BZ70" s="232"/>
      <c r="CB70" s="210"/>
    </row>
    <row r="71" spans="1:80" s="235" customFormat="1" ht="33.75" customHeight="1" x14ac:dyDescent="0.2">
      <c r="A71" s="933" t="s">
        <v>979</v>
      </c>
      <c r="B71" s="934"/>
      <c r="C71" s="934"/>
      <c r="D71" s="934"/>
      <c r="E71" s="934"/>
      <c r="F71" s="934"/>
      <c r="G71" s="934"/>
      <c r="H71" s="934"/>
      <c r="I71" s="934"/>
      <c r="J71" s="934"/>
      <c r="K71" s="934"/>
      <c r="L71" s="934"/>
      <c r="M71" s="934"/>
      <c r="N71" s="934"/>
      <c r="O71" s="934"/>
      <c r="P71" s="934"/>
      <c r="Q71" s="934"/>
      <c r="R71" s="934"/>
      <c r="S71" s="934"/>
      <c r="T71" s="934"/>
      <c r="U71" s="934"/>
      <c r="V71" s="934"/>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5"/>
      <c r="BA71" s="935"/>
      <c r="BB71" s="935"/>
      <c r="BC71" s="935"/>
      <c r="BD71" s="935"/>
      <c r="BE71" s="935"/>
      <c r="BF71" s="935"/>
      <c r="BG71" s="935"/>
      <c r="BH71" s="935"/>
      <c r="BI71" s="935"/>
      <c r="BJ71" s="935"/>
      <c r="BK71" s="935"/>
      <c r="BL71" s="935"/>
      <c r="BM71" s="935"/>
      <c r="BN71" s="935"/>
      <c r="BO71" s="935"/>
      <c r="BP71" s="935"/>
      <c r="BQ71" s="935"/>
      <c r="BR71" s="935"/>
      <c r="BS71" s="935"/>
      <c r="BT71" s="935"/>
      <c r="BU71" s="934"/>
      <c r="BV71" s="934"/>
      <c r="BW71" s="934"/>
      <c r="BX71" s="934"/>
      <c r="BY71" s="934"/>
      <c r="BZ71" s="936"/>
      <c r="CB71" s="236"/>
    </row>
    <row r="72" spans="1:80" x14ac:dyDescent="0.2">
      <c r="A72" s="860" t="s">
        <v>980</v>
      </c>
      <c r="B72" s="861"/>
      <c r="C72" s="861"/>
      <c r="D72" s="861"/>
      <c r="E72" s="861"/>
      <c r="F72" s="861"/>
      <c r="G72" s="861"/>
      <c r="H72" s="861"/>
      <c r="I72" s="861"/>
      <c r="J72" s="861"/>
      <c r="K72" s="861"/>
      <c r="L72" s="861"/>
      <c r="M72" s="861"/>
      <c r="N72" s="861"/>
      <c r="O72" s="861"/>
      <c r="P72" s="861"/>
      <c r="Q72" s="861"/>
      <c r="R72" s="861"/>
      <c r="S72" s="861"/>
      <c r="T72" s="861"/>
      <c r="U72" s="861"/>
      <c r="V72" s="861"/>
      <c r="W72" s="860" t="s">
        <v>981</v>
      </c>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861"/>
      <c r="BJ72" s="861"/>
      <c r="BK72" s="861"/>
      <c r="BL72" s="861"/>
      <c r="BM72" s="861"/>
      <c r="BN72" s="861"/>
      <c r="BO72" s="861"/>
      <c r="BP72" s="861"/>
      <c r="BQ72" s="861"/>
      <c r="BR72" s="861"/>
      <c r="BS72" s="861"/>
      <c r="BT72" s="862"/>
      <c r="BU72" s="860" t="s">
        <v>982</v>
      </c>
      <c r="BV72" s="861"/>
      <c r="BW72" s="861"/>
      <c r="BX72" s="861"/>
      <c r="BY72" s="861"/>
      <c r="BZ72" s="862"/>
      <c r="CB72" s="210"/>
    </row>
    <row r="73" spans="1:80" ht="18.75" customHeight="1" x14ac:dyDescent="0.2">
      <c r="A73" s="937" t="s">
        <v>983</v>
      </c>
      <c r="B73" s="938"/>
      <c r="C73" s="938"/>
      <c r="D73" s="938"/>
      <c r="E73" s="938"/>
      <c r="F73" s="938"/>
      <c r="G73" s="938"/>
      <c r="H73" s="938"/>
      <c r="I73" s="938"/>
      <c r="J73" s="938"/>
      <c r="K73" s="938"/>
      <c r="L73" s="938"/>
      <c r="M73" s="938"/>
      <c r="N73" s="938"/>
      <c r="O73" s="938"/>
      <c r="P73" s="938"/>
      <c r="Q73" s="938"/>
      <c r="R73" s="938"/>
      <c r="S73" s="938"/>
      <c r="T73" s="938"/>
      <c r="U73" s="938"/>
      <c r="V73" s="939"/>
      <c r="W73" s="937" t="s">
        <v>984</v>
      </c>
      <c r="X73" s="938"/>
      <c r="Y73" s="938"/>
      <c r="Z73" s="938"/>
      <c r="AA73" s="938"/>
      <c r="AB73" s="938"/>
      <c r="AC73" s="938"/>
      <c r="AD73" s="938"/>
      <c r="AE73" s="938"/>
      <c r="AF73" s="938"/>
      <c r="AG73" s="938"/>
      <c r="AH73" s="938"/>
      <c r="AI73" s="938"/>
      <c r="AJ73" s="938"/>
      <c r="AK73" s="938"/>
      <c r="AL73" s="938"/>
      <c r="AM73" s="938"/>
      <c r="AN73" s="938"/>
      <c r="AO73" s="938"/>
      <c r="AP73" s="938"/>
      <c r="AQ73" s="938"/>
      <c r="AR73" s="938"/>
      <c r="AS73" s="938"/>
      <c r="AT73" s="938"/>
      <c r="AU73" s="938"/>
      <c r="AV73" s="938"/>
      <c r="AW73" s="938"/>
      <c r="AX73" s="938"/>
      <c r="AY73" s="938"/>
      <c r="AZ73" s="938"/>
      <c r="BA73" s="938"/>
      <c r="BB73" s="938"/>
      <c r="BC73" s="938"/>
      <c r="BD73" s="938"/>
      <c r="BE73" s="938"/>
      <c r="BF73" s="938"/>
      <c r="BG73" s="938"/>
      <c r="BH73" s="938"/>
      <c r="BI73" s="938"/>
      <c r="BJ73" s="938"/>
      <c r="BK73" s="938"/>
      <c r="BL73" s="938"/>
      <c r="BM73" s="938"/>
      <c r="BN73" s="938"/>
      <c r="BO73" s="938"/>
      <c r="BP73" s="938"/>
      <c r="BQ73" s="938"/>
      <c r="BR73" s="938"/>
      <c r="BS73" s="938"/>
      <c r="BT73" s="939"/>
      <c r="BU73" s="920" t="s">
        <v>985</v>
      </c>
      <c r="BV73" s="921"/>
      <c r="BW73" s="921"/>
      <c r="BX73" s="921"/>
      <c r="BY73" s="921"/>
      <c r="BZ73" s="922"/>
      <c r="CB73" s="210"/>
    </row>
    <row r="74" spans="1:80" x14ac:dyDescent="0.2">
      <c r="A74" s="860" t="s">
        <v>986</v>
      </c>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2"/>
      <c r="BU74" s="860" t="s">
        <v>987</v>
      </c>
      <c r="BV74" s="861"/>
      <c r="BW74" s="861"/>
      <c r="BX74" s="861"/>
      <c r="BY74" s="861"/>
      <c r="BZ74" s="862"/>
      <c r="CB74" s="210"/>
    </row>
    <row r="75" spans="1:80" ht="36" customHeight="1" x14ac:dyDescent="0.2">
      <c r="A75" s="817"/>
      <c r="B75" s="818"/>
      <c r="C75" s="818"/>
      <c r="D75" s="818"/>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818"/>
      <c r="AQ75" s="818"/>
      <c r="AR75" s="818"/>
      <c r="AS75" s="818"/>
      <c r="AT75" s="818"/>
      <c r="AU75" s="818"/>
      <c r="AV75" s="818"/>
      <c r="AW75" s="818"/>
      <c r="AX75" s="818"/>
      <c r="AY75" s="818"/>
      <c r="AZ75" s="818"/>
      <c r="BA75" s="818"/>
      <c r="BB75" s="818"/>
      <c r="BC75" s="818"/>
      <c r="BD75" s="818"/>
      <c r="BE75" s="818"/>
      <c r="BF75" s="818"/>
      <c r="BG75" s="818"/>
      <c r="BH75" s="818"/>
      <c r="BI75" s="818"/>
      <c r="BJ75" s="818"/>
      <c r="BK75" s="818"/>
      <c r="BL75" s="818"/>
      <c r="BM75" s="818"/>
      <c r="BN75" s="818"/>
      <c r="BO75" s="818"/>
      <c r="BP75" s="818"/>
      <c r="BQ75" s="818"/>
      <c r="BR75" s="818"/>
      <c r="BS75" s="818"/>
      <c r="BT75" s="819"/>
      <c r="BU75" s="817"/>
      <c r="BV75" s="818"/>
      <c r="BW75" s="818"/>
      <c r="BX75" s="818"/>
      <c r="BY75" s="818"/>
      <c r="BZ75" s="819"/>
      <c r="CB75" s="210"/>
    </row>
    <row r="76" spans="1:80" x14ac:dyDescent="0.2">
      <c r="A76" s="211" t="s">
        <v>988</v>
      </c>
      <c r="BW76" s="211" t="s">
        <v>989</v>
      </c>
      <c r="CB76" s="210"/>
    </row>
    <row r="77" spans="1:80" x14ac:dyDescent="0.2">
      <c r="A77" s="211" t="s">
        <v>990</v>
      </c>
      <c r="BW77" s="211" t="s">
        <v>991</v>
      </c>
      <c r="CB77" s="210"/>
    </row>
    <row r="78" spans="1:80" x14ac:dyDescent="0.2">
      <c r="CB78" s="210"/>
    </row>
    <row r="79" spans="1:80" x14ac:dyDescent="0.2">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row>
  </sheetData>
  <mergeCells count="143">
    <mergeCell ref="BW1:BZ1"/>
    <mergeCell ref="BN28:BZ28"/>
    <mergeCell ref="BN35:BZ35"/>
    <mergeCell ref="BN29:BZ29"/>
    <mergeCell ref="BN31:BV31"/>
    <mergeCell ref="BW3:BZ3"/>
    <mergeCell ref="A74:BT74"/>
    <mergeCell ref="A75:BT75"/>
    <mergeCell ref="BU74:BZ74"/>
    <mergeCell ref="BU75:BZ75"/>
    <mergeCell ref="A71:BZ71"/>
    <mergeCell ref="A72:V72"/>
    <mergeCell ref="A73:V73"/>
    <mergeCell ref="W72:BT72"/>
    <mergeCell ref="W73:BT73"/>
    <mergeCell ref="A15:BM16"/>
    <mergeCell ref="BN16:BZ16"/>
    <mergeCell ref="A23:BM23"/>
    <mergeCell ref="A24:BM24"/>
    <mergeCell ref="BN19:BZ20"/>
    <mergeCell ref="BN22:BT22"/>
    <mergeCell ref="BN21:BT21"/>
    <mergeCell ref="BU21:BZ21"/>
    <mergeCell ref="BU22:BZ22"/>
    <mergeCell ref="A52:P52"/>
    <mergeCell ref="A51:BM51"/>
    <mergeCell ref="BW52:BZ52"/>
    <mergeCell ref="Q52:BM52"/>
    <mergeCell ref="BN52:BV52"/>
    <mergeCell ref="BN41:BZ41"/>
    <mergeCell ref="BN42:BZ42"/>
    <mergeCell ref="D42:BG42"/>
    <mergeCell ref="BN40:BZ40"/>
    <mergeCell ref="BU73:BZ73"/>
    <mergeCell ref="BU72:BZ72"/>
    <mergeCell ref="BT65:BY66"/>
    <mergeCell ref="BN67:BZ67"/>
    <mergeCell ref="BP69:BW69"/>
    <mergeCell ref="BT61:BY61"/>
    <mergeCell ref="BO63:BP63"/>
    <mergeCell ref="BT63:BY63"/>
    <mergeCell ref="BN53:BV53"/>
    <mergeCell ref="BW53:BZ53"/>
    <mergeCell ref="Q66:BM67"/>
    <mergeCell ref="Q62:BM63"/>
    <mergeCell ref="Q68:BM70"/>
    <mergeCell ref="A65:P65"/>
    <mergeCell ref="A66:P66"/>
    <mergeCell ref="A67:P67"/>
    <mergeCell ref="A68:P68"/>
    <mergeCell ref="A69:P70"/>
    <mergeCell ref="A62:P62"/>
    <mergeCell ref="A63:P63"/>
    <mergeCell ref="A64:P64"/>
    <mergeCell ref="A58:P58"/>
    <mergeCell ref="A59:P59"/>
    <mergeCell ref="A60:P60"/>
    <mergeCell ref="BN43:BZ43"/>
    <mergeCell ref="A43:BM43"/>
    <mergeCell ref="A44:BM44"/>
    <mergeCell ref="BN45:BZ50"/>
    <mergeCell ref="A47:BM47"/>
    <mergeCell ref="Q64:BM65"/>
    <mergeCell ref="BN54:BZ55"/>
    <mergeCell ref="A54:BM54"/>
    <mergeCell ref="A55:BM55"/>
    <mergeCell ref="A56:P56"/>
    <mergeCell ref="Q56:BM57"/>
    <mergeCell ref="A57:P57"/>
    <mergeCell ref="BT57:BY59"/>
    <mergeCell ref="BO57:BP57"/>
    <mergeCell ref="A48:BM48"/>
    <mergeCell ref="A49:BM50"/>
    <mergeCell ref="Q58:BM59"/>
    <mergeCell ref="Q60:BM61"/>
    <mergeCell ref="A61:P61"/>
    <mergeCell ref="A53:P53"/>
    <mergeCell ref="Q53:BM53"/>
    <mergeCell ref="G9:O9"/>
    <mergeCell ref="A46:BM46"/>
    <mergeCell ref="A3:AB5"/>
    <mergeCell ref="C33:D33"/>
    <mergeCell ref="F33:G33"/>
    <mergeCell ref="AU45:BC45"/>
    <mergeCell ref="AM45:AS45"/>
    <mergeCell ref="A34:BM34"/>
    <mergeCell ref="A35:BM35"/>
    <mergeCell ref="M36:O36"/>
    <mergeCell ref="AG4:BT4"/>
    <mergeCell ref="A21:BM21"/>
    <mergeCell ref="A25:BM25"/>
    <mergeCell ref="A26:BM26"/>
    <mergeCell ref="A27:U27"/>
    <mergeCell ref="A28:U28"/>
    <mergeCell ref="V27:BM27"/>
    <mergeCell ref="BN32:BV33"/>
    <mergeCell ref="BN24:BZ24"/>
    <mergeCell ref="BN25:BZ25"/>
    <mergeCell ref="BN26:BZ26"/>
    <mergeCell ref="BN27:BZ27"/>
    <mergeCell ref="A41:P41"/>
    <mergeCell ref="Y40:AF40"/>
    <mergeCell ref="S11:AD11"/>
    <mergeCell ref="G11:O11"/>
    <mergeCell ref="A38:V38"/>
    <mergeCell ref="A39:V39"/>
    <mergeCell ref="A31:BM31"/>
    <mergeCell ref="A13:BZ13"/>
    <mergeCell ref="BW31:BZ31"/>
    <mergeCell ref="BW32:BZ33"/>
    <mergeCell ref="BN36:BZ36"/>
    <mergeCell ref="BN37:BZ38"/>
    <mergeCell ref="BN39:BZ39"/>
    <mergeCell ref="BN17:BZ18"/>
    <mergeCell ref="BN23:BZ23"/>
    <mergeCell ref="A29:BM29"/>
    <mergeCell ref="A30:BM30"/>
    <mergeCell ref="A22:BM22"/>
    <mergeCell ref="A20:BM20"/>
    <mergeCell ref="BU4:BZ4"/>
    <mergeCell ref="BU5:BZ5"/>
    <mergeCell ref="BU6:BZ6"/>
    <mergeCell ref="BU7:BZ8"/>
    <mergeCell ref="V28:BM28"/>
    <mergeCell ref="BU9:BZ9"/>
    <mergeCell ref="BU10:BZ12"/>
    <mergeCell ref="BN30:BZ30"/>
    <mergeCell ref="A14:BM14"/>
    <mergeCell ref="A19:BM19"/>
    <mergeCell ref="BN14:BZ14"/>
    <mergeCell ref="A18:BM18"/>
    <mergeCell ref="A17:BM17"/>
    <mergeCell ref="BN15:BZ15"/>
    <mergeCell ref="S9:AB9"/>
    <mergeCell ref="AG5:BT5"/>
    <mergeCell ref="AG6:BT6"/>
    <mergeCell ref="AG7:BT8"/>
    <mergeCell ref="P8:AF8"/>
    <mergeCell ref="AG9:BT9"/>
    <mergeCell ref="P7:AF7"/>
    <mergeCell ref="A6:AF6"/>
    <mergeCell ref="A7:O8"/>
    <mergeCell ref="AG10:BT12"/>
  </mergeCells>
  <phoneticPr fontId="1" type="noConversion"/>
  <hyperlinks>
    <hyperlink ref="BN30" r:id="rId1" xr:uid="{00000000-0004-0000-1600-000000000000}"/>
  </hyperlinks>
  <printOptions horizontalCentered="1"/>
  <pageMargins left="0.25" right="0.25" top="1" bottom="0.5" header="0.5" footer="0.5"/>
  <pageSetup scale="89" orientation="portrait" r:id="rId2"/>
  <headerFooter alignWithMargins="0"/>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6"/>
  <sheetViews>
    <sheetView workbookViewId="0">
      <selection activeCell="D32" sqref="D32"/>
    </sheetView>
  </sheetViews>
  <sheetFormatPr defaultColWidth="8" defaultRowHeight="13.8" x14ac:dyDescent="0.3"/>
  <cols>
    <col min="1" max="1" width="2.109375" style="208" bestFit="1" customWidth="1"/>
    <col min="2" max="2" width="22.77734375" style="196" customWidth="1"/>
    <col min="3" max="3" width="17.21875" style="196" customWidth="1"/>
    <col min="4" max="4" width="13.44140625" style="196" customWidth="1"/>
    <col min="5" max="5" width="16" style="196" customWidth="1"/>
    <col min="6" max="6" width="15.77734375" style="196" customWidth="1"/>
    <col min="7" max="7" width="15.21875" style="196" customWidth="1"/>
    <col min="8" max="8" width="13.109375" style="196" customWidth="1"/>
    <col min="9" max="16384" width="8" style="196"/>
  </cols>
  <sheetData>
    <row r="1" spans="1:8" x14ac:dyDescent="0.3">
      <c r="A1" s="947" t="s">
        <v>992</v>
      </c>
      <c r="B1" s="948"/>
      <c r="C1" s="948"/>
      <c r="D1" s="948"/>
      <c r="E1" s="948"/>
      <c r="F1" s="948"/>
      <c r="G1" s="948"/>
      <c r="H1" s="949"/>
    </row>
    <row r="2" spans="1:8" s="183" customFormat="1" ht="21" customHeight="1" x14ac:dyDescent="0.2">
      <c r="A2" s="943" t="s">
        <v>993</v>
      </c>
      <c r="B2" s="944"/>
      <c r="C2" s="953" t="s">
        <v>994</v>
      </c>
      <c r="D2" s="953" t="s">
        <v>995</v>
      </c>
      <c r="E2" s="953"/>
      <c r="F2" s="953" t="s">
        <v>996</v>
      </c>
      <c r="G2" s="953"/>
      <c r="H2" s="953"/>
    </row>
    <row r="3" spans="1:8" s="183" customFormat="1" ht="30" customHeight="1" x14ac:dyDescent="0.2">
      <c r="A3" s="945"/>
      <c r="B3" s="946"/>
      <c r="C3" s="953"/>
      <c r="D3" s="198" t="s">
        <v>997</v>
      </c>
      <c r="E3" s="198" t="s">
        <v>998</v>
      </c>
      <c r="F3" s="198" t="s">
        <v>999</v>
      </c>
      <c r="G3" s="198" t="s">
        <v>1000</v>
      </c>
      <c r="H3" s="198" t="s">
        <v>1001</v>
      </c>
    </row>
    <row r="4" spans="1:8" ht="27.6" x14ac:dyDescent="0.3">
      <c r="A4" s="197" t="s">
        <v>802</v>
      </c>
      <c r="B4" s="616" t="str">
        <f>'Univ 424'!A47</f>
        <v>Occupational Safety and Health Program</v>
      </c>
      <c r="C4" s="198" t="str">
        <f>'Univ 424'!AM45&amp;'Univ 424'!AU45&amp;" ~ "&amp;'Univ 424'!BG45&amp;'Univ 424'!BI45&amp;'Univ 424'!BK45</f>
        <v>93 ~ 262</v>
      </c>
      <c r="D4" s="191">
        <v>0</v>
      </c>
      <c r="E4" s="191">
        <v>0</v>
      </c>
      <c r="F4" s="191" t="e">
        <f>H22</f>
        <v>#REF!</v>
      </c>
      <c r="G4" s="191" t="e">
        <f>'FedSum All'!G44</f>
        <v>#REF!</v>
      </c>
      <c r="H4" s="191" t="e">
        <f>ROUND(SUM(F4:G4),0)</f>
        <v>#REF!</v>
      </c>
    </row>
    <row r="5" spans="1:8" x14ac:dyDescent="0.3">
      <c r="A5" s="199" t="s">
        <v>811</v>
      </c>
      <c r="B5" s="200"/>
      <c r="C5" s="201"/>
      <c r="D5" s="191">
        <v>0</v>
      </c>
      <c r="E5" s="191">
        <v>0</v>
      </c>
      <c r="F5" s="191">
        <v>0</v>
      </c>
      <c r="G5" s="191">
        <v>0</v>
      </c>
      <c r="H5" s="191">
        <v>0</v>
      </c>
    </row>
    <row r="6" spans="1:8" x14ac:dyDescent="0.3">
      <c r="A6" s="199" t="s">
        <v>815</v>
      </c>
      <c r="B6" s="200"/>
      <c r="C6" s="201"/>
      <c r="D6" s="191">
        <v>0</v>
      </c>
      <c r="E6" s="191">
        <v>0</v>
      </c>
      <c r="F6" s="191">
        <v>0</v>
      </c>
      <c r="G6" s="191">
        <v>0</v>
      </c>
      <c r="H6" s="191">
        <v>0</v>
      </c>
    </row>
    <row r="7" spans="1:8" x14ac:dyDescent="0.3">
      <c r="A7" s="199" t="s">
        <v>816</v>
      </c>
      <c r="B7" s="200"/>
      <c r="C7" s="201"/>
      <c r="D7" s="191">
        <v>0</v>
      </c>
      <c r="E7" s="191">
        <v>0</v>
      </c>
      <c r="F7" s="191">
        <v>0</v>
      </c>
      <c r="G7" s="191">
        <v>0</v>
      </c>
      <c r="H7" s="191">
        <v>0</v>
      </c>
    </row>
    <row r="8" spans="1:8" ht="21" customHeight="1" x14ac:dyDescent="0.3">
      <c r="A8" s="202" t="s">
        <v>817</v>
      </c>
      <c r="B8" s="617" t="s">
        <v>1002</v>
      </c>
      <c r="C8" s="201"/>
      <c r="D8" s="191">
        <f>ROUND(SUM(D4:D7),0)</f>
        <v>0</v>
      </c>
      <c r="E8" s="191">
        <f>ROUND(SUM(E4:E7),0)</f>
        <v>0</v>
      </c>
      <c r="F8" s="191" t="e">
        <f>ROUND(SUM(F4:F7),0)</f>
        <v>#REF!</v>
      </c>
      <c r="G8" s="191" t="e">
        <f>ROUND(SUM(G4:G7),0)</f>
        <v>#REF!</v>
      </c>
      <c r="H8" s="191" t="e">
        <f>ROUND(SUM(H4:H7),0)</f>
        <v>#REF!</v>
      </c>
    </row>
    <row r="9" spans="1:8" x14ac:dyDescent="0.3">
      <c r="A9" s="952" t="s">
        <v>1003</v>
      </c>
      <c r="B9" s="948"/>
      <c r="C9" s="948"/>
      <c r="D9" s="948"/>
      <c r="E9" s="948"/>
      <c r="F9" s="948"/>
      <c r="G9" s="948"/>
      <c r="H9" s="949"/>
    </row>
    <row r="10" spans="1:8" ht="11.25" customHeight="1" x14ac:dyDescent="0.3">
      <c r="A10" s="950" t="s">
        <v>823</v>
      </c>
      <c r="B10" s="955" t="s">
        <v>1004</v>
      </c>
      <c r="C10" s="956"/>
      <c r="D10" s="954" t="s">
        <v>1005</v>
      </c>
      <c r="E10" s="954"/>
      <c r="F10" s="954"/>
      <c r="G10" s="954"/>
      <c r="H10" s="957" t="s">
        <v>1006</v>
      </c>
    </row>
    <row r="11" spans="1:8" ht="42" customHeight="1" x14ac:dyDescent="0.3">
      <c r="A11" s="951"/>
      <c r="B11" s="955"/>
      <c r="C11" s="956"/>
      <c r="D11" s="615" t="str">
        <f>"(1) "&amp;TEXT(YR1Start,"mmmm dd, YYYY")&amp;"-"&amp;TEXT(YR1End,"mmmm dd, YYYY")</f>
        <v>(1) January 00, 1900-December 30, 1900</v>
      </c>
      <c r="E11" s="615" t="str">
        <f>"(2) "&amp;TEXT(YR2Start,"mmmm dd, YYYY")&amp;"-"&amp;TEXT(YR2End,"mmmm dd, YYYY")</f>
        <v>(2) December 31, 1900-December 30, 1901</v>
      </c>
      <c r="F11" s="615" t="str">
        <f>"(3) "&amp;TEXT(YR3Start,"mmmm dd, YYYY")&amp;"-"&amp;TEXT(YR3End,"mmmm dd, YYYY")</f>
        <v>(3) December 31, 1901-December 30, 1902</v>
      </c>
      <c r="G11" s="615" t="str">
        <f>"(4) "&amp;TEXT(YR4Start,"mmmm dd, YYYY")&amp;"-"&amp;TEXT(YR5End,"mmmm dd, YYYY")</f>
        <v>(4) December 31, 1902-December 30, 1904</v>
      </c>
      <c r="H11" s="957"/>
    </row>
    <row r="12" spans="1:8" s="181" customFormat="1" x14ac:dyDescent="0.2">
      <c r="A12" s="203"/>
      <c r="B12" s="955" t="s">
        <v>1007</v>
      </c>
      <c r="C12" s="956"/>
      <c r="D12" s="186" t="e">
        <f>FedSumYR1!E12</f>
        <v>#REF!</v>
      </c>
      <c r="E12" s="186">
        <f>FedSumYR2!E12</f>
        <v>0</v>
      </c>
      <c r="F12" s="186">
        <f>FedSumYR3!E12</f>
        <v>0</v>
      </c>
      <c r="G12" s="186">
        <f>FedSumYR4!E12+FedSumYR5!E12</f>
        <v>0</v>
      </c>
      <c r="H12" s="186" t="e">
        <f>ROUND(SUM(D12:G12),0)</f>
        <v>#REF!</v>
      </c>
    </row>
    <row r="13" spans="1:8" s="181" customFormat="1" x14ac:dyDescent="0.2">
      <c r="A13" s="204"/>
      <c r="B13" s="955" t="s">
        <v>1008</v>
      </c>
      <c r="C13" s="956"/>
      <c r="D13" s="186" t="e">
        <f>FedSumYR1!E14</f>
        <v>#REF!</v>
      </c>
      <c r="E13" s="186">
        <f>FedSumYR2!E14</f>
        <v>0</v>
      </c>
      <c r="F13" s="186">
        <f>FedSumYR3!E14</f>
        <v>0</v>
      </c>
      <c r="G13" s="186">
        <f>FedSumYR4!E14+FedSumYR5!E14</f>
        <v>0</v>
      </c>
      <c r="H13" s="186" t="e">
        <f t="shared" ref="H13:H24" si="0">ROUND(SUM(D13:G13),0)</f>
        <v>#REF!</v>
      </c>
    </row>
    <row r="14" spans="1:8" s="181" customFormat="1" x14ac:dyDescent="0.2">
      <c r="A14" s="204"/>
      <c r="B14" s="955" t="s">
        <v>1009</v>
      </c>
      <c r="C14" s="956"/>
      <c r="D14" s="186">
        <f>FedSumYR1!E16</f>
        <v>0</v>
      </c>
      <c r="E14" s="186">
        <f>FedSumYR2!E16</f>
        <v>0</v>
      </c>
      <c r="F14" s="186">
        <f>FedSumYR3!E16</f>
        <v>0</v>
      </c>
      <c r="G14" s="186">
        <f>FedSumYR4!E16+FedSumYR5!E16</f>
        <v>0</v>
      </c>
      <c r="H14" s="186">
        <f t="shared" si="0"/>
        <v>0</v>
      </c>
    </row>
    <row r="15" spans="1:8" s="181" customFormat="1" x14ac:dyDescent="0.2">
      <c r="A15" s="204"/>
      <c r="B15" s="955" t="s">
        <v>1010</v>
      </c>
      <c r="C15" s="956"/>
      <c r="D15" s="186">
        <f>FedSumYR1!E18</f>
        <v>0</v>
      </c>
      <c r="E15" s="186">
        <f>FedSumYR2!E18</f>
        <v>0</v>
      </c>
      <c r="F15" s="186">
        <f>FedSumYR3!E18</f>
        <v>0</v>
      </c>
      <c r="G15" s="186">
        <f>FedSumYR4!E18+FedSumYR5!E18</f>
        <v>0</v>
      </c>
      <c r="H15" s="186">
        <f t="shared" si="0"/>
        <v>0</v>
      </c>
    </row>
    <row r="16" spans="1:8" s="181" customFormat="1" x14ac:dyDescent="0.2">
      <c r="A16" s="204"/>
      <c r="B16" s="955" t="s">
        <v>1011</v>
      </c>
      <c r="C16" s="956"/>
      <c r="D16" s="186">
        <f>FedSumYR1!E20</f>
        <v>0</v>
      </c>
      <c r="E16" s="186">
        <f>FedSumYR2!E20</f>
        <v>0</v>
      </c>
      <c r="F16" s="186">
        <f>FedSumYR3!E20</f>
        <v>0</v>
      </c>
      <c r="G16" s="186">
        <f>FedSumYR4!E20+FedSumYR5!E20</f>
        <v>0</v>
      </c>
      <c r="H16" s="186">
        <f t="shared" si="0"/>
        <v>0</v>
      </c>
    </row>
    <row r="17" spans="1:8" s="181" customFormat="1" x14ac:dyDescent="0.2">
      <c r="A17" s="205"/>
      <c r="B17" s="955" t="s">
        <v>1012</v>
      </c>
      <c r="C17" s="956"/>
      <c r="D17" s="186">
        <f>FedSumYR1!E22</f>
        <v>0</v>
      </c>
      <c r="E17" s="186">
        <f>FedSumYR2!E22</f>
        <v>0</v>
      </c>
      <c r="F17" s="186">
        <f>FedSumYR3!E22</f>
        <v>0</v>
      </c>
      <c r="G17" s="186">
        <f>FedSumYR4!E22+FedSumYR5!E22</f>
        <v>0</v>
      </c>
      <c r="H17" s="186">
        <f t="shared" si="0"/>
        <v>0</v>
      </c>
    </row>
    <row r="18" spans="1:8" s="181" customFormat="1" x14ac:dyDescent="0.2">
      <c r="A18" s="204"/>
      <c r="B18" s="955" t="s">
        <v>1013</v>
      </c>
      <c r="C18" s="956"/>
      <c r="D18" s="186">
        <f>FedSumYR1!E24</f>
        <v>0</v>
      </c>
      <c r="E18" s="186">
        <f>FedSumYR2!E24</f>
        <v>0</v>
      </c>
      <c r="F18" s="186">
        <f>FedSumYR3!E24</f>
        <v>0</v>
      </c>
      <c r="G18" s="186">
        <f>FedSumYR4!E24+FedSumYR5!E24</f>
        <v>0</v>
      </c>
      <c r="H18" s="186">
        <f t="shared" si="0"/>
        <v>0</v>
      </c>
    </row>
    <row r="19" spans="1:8" s="181" customFormat="1" x14ac:dyDescent="0.2">
      <c r="A19" s="205"/>
      <c r="B19" s="955" t="s">
        <v>1014</v>
      </c>
      <c r="C19" s="956"/>
      <c r="D19" s="186">
        <f>FedSumYR1!E26</f>
        <v>0</v>
      </c>
      <c r="E19" s="186">
        <f>FedSumYR2!E26</f>
        <v>0</v>
      </c>
      <c r="F19" s="186">
        <f>FedSumYR3!E26</f>
        <v>0</v>
      </c>
      <c r="G19" s="186">
        <f>FedSumYR4!E26+FedSumYR5!E26</f>
        <v>0</v>
      </c>
      <c r="H19" s="186">
        <f t="shared" si="0"/>
        <v>0</v>
      </c>
    </row>
    <row r="20" spans="1:8" s="181" customFormat="1" x14ac:dyDescent="0.2">
      <c r="A20" s="204"/>
      <c r="B20" s="955" t="s">
        <v>1015</v>
      </c>
      <c r="C20" s="956"/>
      <c r="D20" s="186" t="e">
        <f>SUM(D12:D19)</f>
        <v>#REF!</v>
      </c>
      <c r="E20" s="186">
        <f>SUM(E12:E19)</f>
        <v>0</v>
      </c>
      <c r="F20" s="186">
        <f>SUM(F12:F19)</f>
        <v>0</v>
      </c>
      <c r="G20" s="186">
        <f>SUM(G12:G19)</f>
        <v>0</v>
      </c>
      <c r="H20" s="186" t="e">
        <f t="shared" si="0"/>
        <v>#REF!</v>
      </c>
    </row>
    <row r="21" spans="1:8" s="181" customFormat="1" x14ac:dyDescent="0.2">
      <c r="A21" s="204"/>
      <c r="B21" s="955" t="s">
        <v>1016</v>
      </c>
      <c r="C21" s="956"/>
      <c r="D21" s="186">
        <f>FedSumYR1!E30</f>
        <v>0</v>
      </c>
      <c r="E21" s="186">
        <f>FedSumYR2!E30</f>
        <v>0</v>
      </c>
      <c r="F21" s="186">
        <f>FedSumYR3!E30</f>
        <v>0</v>
      </c>
      <c r="G21" s="186">
        <f>FedSumYR4!E30+FedSumYR5!E30</f>
        <v>0</v>
      </c>
      <c r="H21" s="186">
        <f t="shared" si="0"/>
        <v>0</v>
      </c>
    </row>
    <row r="22" spans="1:8" s="181" customFormat="1" x14ac:dyDescent="0.2">
      <c r="A22" s="206"/>
      <c r="B22" s="955" t="s">
        <v>1017</v>
      </c>
      <c r="C22" s="956"/>
      <c r="D22" s="186" t="e">
        <f>D20+D21</f>
        <v>#REF!</v>
      </c>
      <c r="E22" s="186">
        <f>ROUND(E20+E21,0)</f>
        <v>0</v>
      </c>
      <c r="F22" s="186">
        <f>ROUND(F20+F21,0)</f>
        <v>0</v>
      </c>
      <c r="G22" s="186">
        <f>G20+G21</f>
        <v>0</v>
      </c>
      <c r="H22" s="186" t="e">
        <f t="shared" si="0"/>
        <v>#REF!</v>
      </c>
    </row>
    <row r="23" spans="1:8" x14ac:dyDescent="0.3">
      <c r="A23" s="959"/>
      <c r="B23" s="960"/>
      <c r="C23" s="960"/>
      <c r="D23" s="960"/>
      <c r="E23" s="960"/>
      <c r="F23" s="960"/>
      <c r="G23" s="960"/>
      <c r="H23" s="961"/>
    </row>
    <row r="24" spans="1:8" x14ac:dyDescent="0.3">
      <c r="A24" s="199" t="s">
        <v>825</v>
      </c>
      <c r="B24" s="958" t="s">
        <v>1018</v>
      </c>
      <c r="C24" s="955"/>
      <c r="D24" s="207">
        <f>ROUND(FedSumYR1!I44,0)</f>
        <v>0</v>
      </c>
      <c r="E24" s="207">
        <v>0</v>
      </c>
      <c r="F24" s="207">
        <v>0</v>
      </c>
      <c r="G24" s="207">
        <v>0</v>
      </c>
      <c r="H24" s="207">
        <f t="shared" si="0"/>
        <v>0</v>
      </c>
    </row>
    <row r="26" spans="1:8" x14ac:dyDescent="0.3">
      <c r="D26" s="209" t="e">
        <f>FedSumYR1!E44</f>
        <v>#REF!</v>
      </c>
      <c r="E26" s="209">
        <f>FedSumYR2!E44</f>
        <v>0</v>
      </c>
      <c r="F26" s="209">
        <f>ROUND(FedSumYR3!E44,0)</f>
        <v>0</v>
      </c>
      <c r="G26" s="209">
        <f>FedSumYR4!E44+FedSumYR5!E44</f>
        <v>0</v>
      </c>
      <c r="H26" s="209" t="e">
        <f>ROUND(SUM(D26:G26),0)</f>
        <v>#REF!</v>
      </c>
    </row>
  </sheetData>
  <mergeCells count="23">
    <mergeCell ref="B12:C12"/>
    <mergeCell ref="B13:C13"/>
    <mergeCell ref="B14:C14"/>
    <mergeCell ref="B15:C15"/>
    <mergeCell ref="B17:C17"/>
    <mergeCell ref="B19:C19"/>
    <mergeCell ref="B16:C16"/>
    <mergeCell ref="B24:C24"/>
    <mergeCell ref="B21:C21"/>
    <mergeCell ref="B22:C22"/>
    <mergeCell ref="B20:C20"/>
    <mergeCell ref="A23:H23"/>
    <mergeCell ref="B18:C18"/>
    <mergeCell ref="A2:B3"/>
    <mergeCell ref="A1:H1"/>
    <mergeCell ref="A10:A11"/>
    <mergeCell ref="A9:H9"/>
    <mergeCell ref="D2:E2"/>
    <mergeCell ref="C2:C3"/>
    <mergeCell ref="F2:H2"/>
    <mergeCell ref="D10:G10"/>
    <mergeCell ref="B10:C11"/>
    <mergeCell ref="H10:H11"/>
  </mergeCells>
  <phoneticPr fontId="1" type="noConversion"/>
  <conditionalFormatting sqref="D26">
    <cfRule type="cellIs" dxfId="4" priority="15" operator="notEqual">
      <formula>$D$22</formula>
    </cfRule>
  </conditionalFormatting>
  <conditionalFormatting sqref="E26">
    <cfRule type="cellIs" dxfId="3" priority="4" operator="notEqual">
      <formula>$E$22</formula>
    </cfRule>
  </conditionalFormatting>
  <conditionalFormatting sqref="F26">
    <cfRule type="cellIs" dxfId="2" priority="3" operator="notEqual">
      <formula>$F$22</formula>
    </cfRule>
  </conditionalFormatting>
  <conditionalFormatting sqref="G26">
    <cfRule type="cellIs" dxfId="1" priority="2" operator="notEqual">
      <formula>$G$22</formula>
    </cfRule>
  </conditionalFormatting>
  <conditionalFormatting sqref="H26">
    <cfRule type="cellIs" dxfId="0" priority="1" operator="notEqual">
      <formula>$H$22</formula>
    </cfRule>
  </conditionalFormatting>
  <printOptions horizontalCentered="1"/>
  <pageMargins left="0.5" right="0.75" top="0.75" bottom="1" header="0.5" footer="1"/>
  <pageSetup scale="97" orientation="landscape" r:id="rId1"/>
  <headerFooter alignWithMargins="0">
    <oddHeader>&amp;C&amp;"Arial,Bold"&amp;12BUDGET INFORMATION - Non-Construction Programs&amp;R&amp;8OMB Approval No. 0438-0044</oddHeader>
    <oddFooter>&amp;L&amp;"Arial,Bold"&amp;8
Previous Edition Usable&amp;C&amp;"Arial,Bold"&amp;9Authorized for Local Reproduction&amp;R&amp;8Standard Form 424A (Rev 7-97)
Prescribed by OMB Circular A-102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23"/>
  <sheetViews>
    <sheetView workbookViewId="0">
      <selection activeCell="D32" sqref="D32"/>
    </sheetView>
  </sheetViews>
  <sheetFormatPr defaultColWidth="8" defaultRowHeight="13.8" x14ac:dyDescent="0.2"/>
  <cols>
    <col min="1" max="1" width="2.77734375" style="181" customWidth="1"/>
    <col min="2" max="2" width="14.33203125" style="181" customWidth="1"/>
    <col min="3" max="3" width="21" style="181" customWidth="1"/>
    <col min="4" max="4" width="15.44140625" style="181" customWidth="1"/>
    <col min="5" max="5" width="16" style="181" customWidth="1"/>
    <col min="6" max="6" width="15.77734375" style="181" customWidth="1"/>
    <col min="7" max="7" width="15.21875" style="181" customWidth="1"/>
    <col min="8" max="8" width="15.6640625" style="181" customWidth="1"/>
    <col min="9" max="16384" width="8" style="181"/>
  </cols>
  <sheetData>
    <row r="1" spans="1:8" x14ac:dyDescent="0.2">
      <c r="A1" s="962" t="s">
        <v>1019</v>
      </c>
      <c r="B1" s="963"/>
      <c r="C1" s="963"/>
      <c r="D1" s="963"/>
      <c r="E1" s="963"/>
      <c r="F1" s="963"/>
      <c r="G1" s="963"/>
      <c r="H1" s="964"/>
    </row>
    <row r="2" spans="1:8" s="183" customFormat="1" ht="21" customHeight="1" x14ac:dyDescent="0.2">
      <c r="A2" s="967" t="s">
        <v>1020</v>
      </c>
      <c r="B2" s="975"/>
      <c r="C2" s="975"/>
      <c r="D2" s="976"/>
      <c r="E2" s="182" t="s">
        <v>1021</v>
      </c>
      <c r="F2" s="182" t="s">
        <v>1022</v>
      </c>
      <c r="G2" s="182" t="s">
        <v>1023</v>
      </c>
      <c r="H2" s="182" t="s">
        <v>1024</v>
      </c>
    </row>
    <row r="3" spans="1:8" x14ac:dyDescent="0.2">
      <c r="A3" s="184" t="s">
        <v>827</v>
      </c>
      <c r="B3" s="977" t="str">
        <f>'Univ 424A-1'!B4</f>
        <v>Occupational Safety and Health Program</v>
      </c>
      <c r="C3" s="977"/>
      <c r="D3" s="978"/>
      <c r="E3" s="185" t="e">
        <f>'FedSum All'!G44</f>
        <v>#REF!</v>
      </c>
      <c r="F3" s="186">
        <f>'Univ 424'!Q60</f>
        <v>0</v>
      </c>
      <c r="G3" s="185">
        <f>FedSumYR1!I44</f>
        <v>0</v>
      </c>
      <c r="H3" s="186" t="e">
        <f>ROUND(SUM(E3:G3),0)</f>
        <v>#REF!</v>
      </c>
    </row>
    <row r="4" spans="1:8" x14ac:dyDescent="0.2">
      <c r="A4" s="187" t="s">
        <v>1025</v>
      </c>
      <c r="B4" s="979"/>
      <c r="C4" s="980"/>
      <c r="D4" s="980"/>
      <c r="E4" s="186">
        <v>0</v>
      </c>
      <c r="F4" s="186">
        <v>0</v>
      </c>
      <c r="G4" s="186">
        <v>0</v>
      </c>
      <c r="H4" s="186">
        <v>0</v>
      </c>
    </row>
    <row r="5" spans="1:8" x14ac:dyDescent="0.2">
      <c r="A5" s="187" t="s">
        <v>1026</v>
      </c>
      <c r="B5" s="979"/>
      <c r="C5" s="980"/>
      <c r="D5" s="980"/>
      <c r="E5" s="186">
        <v>0</v>
      </c>
      <c r="F5" s="186">
        <v>0</v>
      </c>
      <c r="G5" s="186">
        <v>0</v>
      </c>
      <c r="H5" s="186">
        <v>0</v>
      </c>
    </row>
    <row r="6" spans="1:8" x14ac:dyDescent="0.2">
      <c r="A6" s="187" t="s">
        <v>1027</v>
      </c>
      <c r="B6" s="979"/>
      <c r="C6" s="980"/>
      <c r="D6" s="980"/>
      <c r="E6" s="186">
        <v>0</v>
      </c>
      <c r="F6" s="186">
        <v>0</v>
      </c>
      <c r="G6" s="186">
        <v>0</v>
      </c>
      <c r="H6" s="186">
        <v>0</v>
      </c>
    </row>
    <row r="7" spans="1:8" ht="21" customHeight="1" x14ac:dyDescent="0.2">
      <c r="A7" s="188" t="s">
        <v>1028</v>
      </c>
      <c r="B7" s="979" t="s">
        <v>1029</v>
      </c>
      <c r="C7" s="980"/>
      <c r="D7" s="980"/>
      <c r="E7" s="186" t="e">
        <f>SUM(E3:E6)</f>
        <v>#REF!</v>
      </c>
      <c r="F7" s="186">
        <f>SUM(F3:F6)</f>
        <v>0</v>
      </c>
      <c r="G7" s="186">
        <f>SUM(G3:G6)</f>
        <v>0</v>
      </c>
      <c r="H7" s="186" t="e">
        <f>SUM(H3:H6)</f>
        <v>#REF!</v>
      </c>
    </row>
    <row r="8" spans="1:8" x14ac:dyDescent="0.2">
      <c r="A8" s="973" t="s">
        <v>1030</v>
      </c>
      <c r="B8" s="963"/>
      <c r="C8" s="963"/>
      <c r="D8" s="963"/>
      <c r="E8" s="963"/>
      <c r="F8" s="963"/>
      <c r="G8" s="963"/>
      <c r="H8" s="964"/>
    </row>
    <row r="9" spans="1:8" ht="11.25" customHeight="1" x14ac:dyDescent="0.2">
      <c r="A9" s="965" t="s">
        <v>1031</v>
      </c>
      <c r="B9" s="955" t="s">
        <v>86</v>
      </c>
      <c r="C9" s="956"/>
      <c r="D9" s="189" t="s">
        <v>1032</v>
      </c>
      <c r="E9" s="189" t="s">
        <v>1033</v>
      </c>
      <c r="F9" s="189" t="s">
        <v>1034</v>
      </c>
      <c r="G9" s="189" t="s">
        <v>1035</v>
      </c>
      <c r="H9" s="190" t="s">
        <v>1036</v>
      </c>
    </row>
    <row r="10" spans="1:8" ht="21" customHeight="1" x14ac:dyDescent="0.2">
      <c r="A10" s="966"/>
      <c r="B10" s="955"/>
      <c r="C10" s="956"/>
      <c r="D10" s="185" t="e">
        <f>FedSumYR1!E44</f>
        <v>#REF!</v>
      </c>
      <c r="E10" s="186" t="e">
        <f>ROUND(D10/4,0)</f>
        <v>#REF!</v>
      </c>
      <c r="F10" s="186" t="e">
        <f>E10</f>
        <v>#REF!</v>
      </c>
      <c r="G10" s="186" t="e">
        <f>F10</f>
        <v>#REF!</v>
      </c>
      <c r="H10" s="186" t="e">
        <f>D10-SUM(E10:G10)</f>
        <v>#REF!</v>
      </c>
    </row>
    <row r="11" spans="1:8" ht="21" customHeight="1" x14ac:dyDescent="0.2">
      <c r="A11" s="187" t="s">
        <v>1037</v>
      </c>
      <c r="B11" s="955" t="s">
        <v>1038</v>
      </c>
      <c r="C11" s="956"/>
      <c r="D11" s="185" t="e">
        <f>FedSumYR1!G44</f>
        <v>#REF!</v>
      </c>
      <c r="E11" s="186" t="e">
        <f>ROUND(D11/4,0)</f>
        <v>#REF!</v>
      </c>
      <c r="F11" s="186" t="e">
        <f>E11</f>
        <v>#REF!</v>
      </c>
      <c r="G11" s="186" t="e">
        <f>F11</f>
        <v>#REF!</v>
      </c>
      <c r="H11" s="186" t="e">
        <f>D11-SUM(E11:G11)</f>
        <v>#REF!</v>
      </c>
    </row>
    <row r="12" spans="1:8" ht="21" customHeight="1" x14ac:dyDescent="0.2">
      <c r="A12" s="188" t="s">
        <v>1039</v>
      </c>
      <c r="B12" s="955" t="s">
        <v>1040</v>
      </c>
      <c r="C12" s="956"/>
      <c r="D12" s="186" t="e">
        <f>ROUND(SUM(D10:D11),0)</f>
        <v>#REF!</v>
      </c>
      <c r="E12" s="186" t="e">
        <f>ROUND(SUM(E10:E11),0)</f>
        <v>#REF!</v>
      </c>
      <c r="F12" s="186" t="e">
        <f>ROUND(SUM(F10:F11),0)</f>
        <v>#REF!</v>
      </c>
      <c r="G12" s="186" t="e">
        <f>ROUND(SUM(G10:G11),0)</f>
        <v>#REF!</v>
      </c>
      <c r="H12" s="186" t="e">
        <f>ROUND(SUM(H10:H11),0)</f>
        <v>#REF!</v>
      </c>
    </row>
    <row r="13" spans="1:8" ht="14.25" customHeight="1" x14ac:dyDescent="0.2">
      <c r="A13" s="974" t="s">
        <v>1041</v>
      </c>
      <c r="B13" s="963"/>
      <c r="C13" s="963"/>
      <c r="D13" s="963"/>
      <c r="E13" s="963"/>
      <c r="F13" s="963"/>
      <c r="G13" s="963"/>
      <c r="H13" s="964"/>
    </row>
    <row r="14" spans="1:8" ht="15" customHeight="1" x14ac:dyDescent="0.2">
      <c r="A14" s="967" t="s">
        <v>1020</v>
      </c>
      <c r="B14" s="968"/>
      <c r="C14" s="968"/>
      <c r="D14" s="969"/>
      <c r="E14" s="981" t="s">
        <v>1042</v>
      </c>
      <c r="F14" s="981"/>
      <c r="G14" s="981"/>
      <c r="H14" s="981"/>
    </row>
    <row r="15" spans="1:8" x14ac:dyDescent="0.2">
      <c r="A15" s="970"/>
      <c r="B15" s="971"/>
      <c r="C15" s="971"/>
      <c r="D15" s="972"/>
      <c r="E15" s="191" t="s">
        <v>1043</v>
      </c>
      <c r="F15" s="192" t="s">
        <v>1044</v>
      </c>
      <c r="G15" s="186" t="s">
        <v>1045</v>
      </c>
      <c r="H15" s="186" t="s">
        <v>1046</v>
      </c>
    </row>
    <row r="16" spans="1:8" ht="21" customHeight="1" x14ac:dyDescent="0.2">
      <c r="A16" s="194" t="s">
        <v>1047</v>
      </c>
      <c r="B16" s="987" t="str">
        <f>B3</f>
        <v>Occupational Safety and Health Program</v>
      </c>
      <c r="C16" s="988"/>
      <c r="D16" s="988"/>
      <c r="E16" s="185">
        <f>FedSumYR2!E44</f>
        <v>0</v>
      </c>
      <c r="F16" s="185">
        <f>FedSumYR3!E44</f>
        <v>0</v>
      </c>
      <c r="G16" s="185">
        <f>FedSumYR4!E44</f>
        <v>0</v>
      </c>
      <c r="H16" s="185">
        <f>FedSumYR5!E44</f>
        <v>0</v>
      </c>
    </row>
    <row r="17" spans="1:9" ht="21" customHeight="1" x14ac:dyDescent="0.2">
      <c r="A17" s="187" t="s">
        <v>1048</v>
      </c>
      <c r="B17" s="979"/>
      <c r="C17" s="980"/>
      <c r="D17" s="980"/>
      <c r="E17" s="186"/>
      <c r="F17" s="186"/>
      <c r="G17" s="186"/>
      <c r="H17" s="186"/>
    </row>
    <row r="18" spans="1:9" ht="21" customHeight="1" x14ac:dyDescent="0.2">
      <c r="A18" s="187" t="s">
        <v>1049</v>
      </c>
      <c r="B18" s="979"/>
      <c r="C18" s="980"/>
      <c r="D18" s="980"/>
      <c r="E18" s="186"/>
      <c r="F18" s="186"/>
      <c r="G18" s="186"/>
      <c r="H18" s="186"/>
    </row>
    <row r="19" spans="1:9" ht="21" customHeight="1" x14ac:dyDescent="0.2">
      <c r="A19" s="187" t="s">
        <v>1050</v>
      </c>
      <c r="B19" s="979"/>
      <c r="C19" s="980"/>
      <c r="D19" s="980"/>
      <c r="E19" s="186"/>
      <c r="F19" s="186"/>
      <c r="G19" s="186"/>
      <c r="H19" s="186"/>
    </row>
    <row r="20" spans="1:9" ht="21" customHeight="1" x14ac:dyDescent="0.2">
      <c r="A20" s="188" t="s">
        <v>1051</v>
      </c>
      <c r="B20" s="979" t="s">
        <v>1052</v>
      </c>
      <c r="C20" s="980"/>
      <c r="D20" s="980"/>
      <c r="E20" s="186"/>
      <c r="F20" s="186"/>
      <c r="G20" s="186"/>
      <c r="H20" s="186"/>
      <c r="I20" s="193"/>
    </row>
    <row r="21" spans="1:9" ht="13.5" customHeight="1" x14ac:dyDescent="0.2">
      <c r="A21" s="973" t="s">
        <v>1053</v>
      </c>
      <c r="B21" s="985"/>
      <c r="C21" s="985"/>
      <c r="D21" s="985"/>
      <c r="E21" s="985"/>
      <c r="F21" s="985"/>
      <c r="G21" s="985"/>
      <c r="H21" s="986"/>
    </row>
    <row r="22" spans="1:9" ht="20.25" customHeight="1" x14ac:dyDescent="0.2">
      <c r="A22" s="194" t="s">
        <v>1054</v>
      </c>
      <c r="B22" s="983" t="e">
        <f>"Direct Charges: "&amp;DOLLAR('Univ 424A-1'!D20,"$0")</f>
        <v>#REF!</v>
      </c>
      <c r="C22" s="983"/>
      <c r="D22" s="983"/>
      <c r="E22" s="984"/>
      <c r="F22" s="982" t="str">
        <f>"22. Indirect Charges: "&amp;DOLLAR('Univ 424A-1'!D21,"$0")</f>
        <v>22. Indirect Charges: $0</v>
      </c>
      <c r="G22" s="983"/>
      <c r="H22" s="984"/>
    </row>
    <row r="23" spans="1:9" ht="21" customHeight="1" x14ac:dyDescent="0.2">
      <c r="A23" s="195" t="s">
        <v>1055</v>
      </c>
      <c r="B23" s="956" t="s">
        <v>1056</v>
      </c>
      <c r="C23" s="956"/>
      <c r="D23" s="956"/>
      <c r="E23" s="956"/>
      <c r="F23" s="956"/>
      <c r="G23" s="956"/>
      <c r="H23" s="956"/>
    </row>
  </sheetData>
  <mergeCells count="24">
    <mergeCell ref="B23:H23"/>
    <mergeCell ref="E14:H14"/>
    <mergeCell ref="F22:H22"/>
    <mergeCell ref="B22:E22"/>
    <mergeCell ref="B20:D20"/>
    <mergeCell ref="A21:H21"/>
    <mergeCell ref="B19:D19"/>
    <mergeCell ref="B16:D16"/>
    <mergeCell ref="B17:D17"/>
    <mergeCell ref="B18:D18"/>
    <mergeCell ref="A1:H1"/>
    <mergeCell ref="A9:A10"/>
    <mergeCell ref="A14:D15"/>
    <mergeCell ref="A8:H8"/>
    <mergeCell ref="A13:H13"/>
    <mergeCell ref="A2:D2"/>
    <mergeCell ref="B3:D3"/>
    <mergeCell ref="B4:D4"/>
    <mergeCell ref="B5:D5"/>
    <mergeCell ref="B6:D6"/>
    <mergeCell ref="B9:C10"/>
    <mergeCell ref="B11:C11"/>
    <mergeCell ref="B12:C12"/>
    <mergeCell ref="B7:D7"/>
  </mergeCells>
  <phoneticPr fontId="1" type="noConversion"/>
  <printOptions horizontalCentered="1"/>
  <pageMargins left="0.75" right="0.75" top="1" bottom="1" header="0.5" footer="0.5"/>
  <pageSetup orientation="landscape" r:id="rId1"/>
  <headerFooter alignWithMargins="0">
    <oddFooter>&amp;C&amp;"Arial,Bold"&amp;8Authorized for Local Reproduction&amp;R&amp;"Arial,Bold"&amp;8
Standard Form 424A (Rev. 7-97) Page 2</oddFooter>
  </headerFooter>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B0C1658EAAFE4986DAF3A9C00CD552" ma:contentTypeVersion="16" ma:contentTypeDescription="Create a new document." ma:contentTypeScope="" ma:versionID="6ced2c0292ecafd19a4732a1d2a8c4b8">
  <xsd:schema xmlns:xsd="http://www.w3.org/2001/XMLSchema" xmlns:xs="http://www.w3.org/2001/XMLSchema" xmlns:p="http://schemas.microsoft.com/office/2006/metadata/properties" xmlns:ns2="c52ce928-5134-45e6-99cb-75fa4e4a1f07" xmlns:ns3="73dea2bd-41f8-4368-8571-cc225f7923af" targetNamespace="http://schemas.microsoft.com/office/2006/metadata/properties" ma:root="true" ma:fieldsID="34a63363b5fad9c29afd579d0e6fbd97" ns2:_="" ns3:_="">
    <xsd:import namespace="c52ce928-5134-45e6-99cb-75fa4e4a1f07"/>
    <xsd:import namespace="73dea2bd-41f8-4368-8571-cc225f7923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ce928-5134-45e6-99cb-75fa4e4a1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341fed-cdcc-4a61-a1a7-3c1126b6d3eb"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dea2bd-41f8-4368-8571-cc225f7923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6a6ce7b-ff40-43af-9290-52f852280134}" ma:internalName="TaxCatchAll" ma:showField="CatchAllData" ma:web="73dea2bd-41f8-4368-8571-cc225f7923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ce928-5134-45e6-99cb-75fa4e4a1f07">
      <Terms xmlns="http://schemas.microsoft.com/office/infopath/2007/PartnerControls"/>
    </lcf76f155ced4ddcb4097134ff3c332f>
    <TaxCatchAll xmlns="73dea2bd-41f8-4368-8571-cc225f7923af" xsi:nil="true"/>
  </documentManagement>
</p:properties>
</file>

<file path=customXml/itemProps1.xml><?xml version="1.0" encoding="utf-8"?>
<ds:datastoreItem xmlns:ds="http://schemas.openxmlformats.org/officeDocument/2006/customXml" ds:itemID="{F2AD8AC2-BA2A-496C-8987-902F3733A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ce928-5134-45e6-99cb-75fa4e4a1f07"/>
    <ds:schemaRef ds:uri="73dea2bd-41f8-4368-8571-cc225f792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0A1CD7-21D2-40F5-8380-8D8691BCB529}">
  <ds:schemaRefs>
    <ds:schemaRef ds:uri="http://schemas.microsoft.com/sharepoint/v3/contenttype/forms"/>
  </ds:schemaRefs>
</ds:datastoreItem>
</file>

<file path=customXml/itemProps3.xml><?xml version="1.0" encoding="utf-8"?>
<ds:datastoreItem xmlns:ds="http://schemas.openxmlformats.org/officeDocument/2006/customXml" ds:itemID="{5353E14A-EDD1-4C64-95F7-09936BFB388B}">
  <ds:schemaRefs>
    <ds:schemaRef ds:uri="http://schemas.microsoft.com/office/2006/metadata/properties"/>
    <ds:schemaRef ds:uri="http://schemas.microsoft.com/office/infopath/2007/PartnerControls"/>
    <ds:schemaRef ds:uri="c52ce928-5134-45e6-99cb-75fa4e4a1f07"/>
    <ds:schemaRef ds:uri="73dea2bd-41f8-4368-8571-cc225f7923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57</vt:i4>
      </vt:variant>
    </vt:vector>
  </HeadingPairs>
  <TitlesOfParts>
    <vt:vector size="82" baseType="lpstr">
      <vt:lpstr>Data</vt:lpstr>
      <vt:lpstr>Salaries</vt:lpstr>
      <vt:lpstr>FedSumYR1</vt:lpstr>
      <vt:lpstr>Narrative</vt:lpstr>
      <vt:lpstr>YEAR 1</vt:lpstr>
      <vt:lpstr>YEAR 2</vt:lpstr>
      <vt:lpstr>FedSumYR2</vt:lpstr>
      <vt:lpstr>YEAR 3</vt:lpstr>
      <vt:lpstr>FedSumYR3</vt:lpstr>
      <vt:lpstr>YEAR 4</vt:lpstr>
      <vt:lpstr>FedSumYR4</vt:lpstr>
      <vt:lpstr>YEAR 5</vt:lpstr>
      <vt:lpstr>FedSumYR5</vt:lpstr>
      <vt:lpstr>FedSum All</vt:lpstr>
      <vt:lpstr>ALL YRS</vt:lpstr>
      <vt:lpstr>Grants.Gov Sum</vt:lpstr>
      <vt:lpstr>BANNER FRAPROP Yr 1</vt:lpstr>
      <vt:lpstr>BANNER FRAPROP Yr 2</vt:lpstr>
      <vt:lpstr>BANNER FRAPROP Yr 3</vt:lpstr>
      <vt:lpstr>BANNER FRAPROP Yr 4</vt:lpstr>
      <vt:lpstr>BANNER FRAPROP Yr 5</vt:lpstr>
      <vt:lpstr>BANNER FRAPROP SUMM</vt:lpstr>
      <vt:lpstr>Univ 424</vt:lpstr>
      <vt:lpstr>Univ 424A-1</vt:lpstr>
      <vt:lpstr>Univ 424A-2</vt:lpstr>
      <vt:lpstr>COLA</vt:lpstr>
      <vt:lpstr>CONTRACTFEE</vt:lpstr>
      <vt:lpstr>COSTSHARERATE</vt:lpstr>
      <vt:lpstr>Dept</vt:lpstr>
      <vt:lpstr>EndDate</vt:lpstr>
      <vt:lpstr>Faculty</vt:lpstr>
      <vt:lpstr>FrCOLA</vt:lpstr>
      <vt:lpstr>FRINGE</vt:lpstr>
      <vt:lpstr>INDIRECT</vt:lpstr>
      <vt:lpstr>PI</vt:lpstr>
      <vt:lpstr>'ALL YRS'!Print_Area</vt:lpstr>
      <vt:lpstr>'BANNER FRAPROP SUMM'!Print_Area</vt:lpstr>
      <vt:lpstr>'BANNER FRAPROP Yr 1'!Print_Area</vt:lpstr>
      <vt:lpstr>'BANNER FRAPROP Yr 2'!Print_Area</vt:lpstr>
      <vt:lpstr>'BANNER FRAPROP Yr 3'!Print_Area</vt:lpstr>
      <vt:lpstr>'BANNER FRAPROP Yr 4'!Print_Area</vt:lpstr>
      <vt:lpstr>'BANNER FRAPROP Yr 5'!Print_Area</vt:lpstr>
      <vt:lpstr>'FedSum All'!Print_Area</vt:lpstr>
      <vt:lpstr>FedSumYR1!Print_Area</vt:lpstr>
      <vt:lpstr>FedSumYR2!Print_Area</vt:lpstr>
      <vt:lpstr>FedSumYR3!Print_Area</vt:lpstr>
      <vt:lpstr>FedSumYR4!Print_Area</vt:lpstr>
      <vt:lpstr>FedSumYR5!Print_Area</vt:lpstr>
      <vt:lpstr>'Grants.Gov Sum'!Print_Area</vt:lpstr>
      <vt:lpstr>Narrative!Print_Area</vt:lpstr>
      <vt:lpstr>Salaries!Print_Area</vt:lpstr>
      <vt:lpstr>'Univ 424'!Print_Area</vt:lpstr>
      <vt:lpstr>'Univ 424A-1'!Print_Area</vt:lpstr>
      <vt:lpstr>'Univ 424A-2'!Print_Area</vt:lpstr>
      <vt:lpstr>'YEAR 1'!Print_Area</vt:lpstr>
      <vt:lpstr>'YEAR 2'!Print_Area</vt:lpstr>
      <vt:lpstr>'YEAR 3'!Print_Area</vt:lpstr>
      <vt:lpstr>'YEAR 4'!Print_Area</vt:lpstr>
      <vt:lpstr>'YEAR 5'!Print_Area</vt:lpstr>
      <vt:lpstr>'ALL YRS'!Print_Titles</vt:lpstr>
      <vt:lpstr>Narrative!Print_Titles</vt:lpstr>
      <vt:lpstr>'YEAR 1'!Print_Titles</vt:lpstr>
      <vt:lpstr>'YEAR 2'!Print_Titles</vt:lpstr>
      <vt:lpstr>'YEAR 3'!Print_Titles</vt:lpstr>
      <vt:lpstr>'YEAR 4'!Print_Titles</vt:lpstr>
      <vt:lpstr>'YEAR 5'!Print_Titles</vt:lpstr>
      <vt:lpstr>RECOVERED</vt:lpstr>
      <vt:lpstr>StartDate</vt:lpstr>
      <vt:lpstr>StuFRINGE</vt:lpstr>
      <vt:lpstr>Title</vt:lpstr>
      <vt:lpstr>TRInStart</vt:lpstr>
      <vt:lpstr>TROutStart</vt:lpstr>
      <vt:lpstr>YR1End</vt:lpstr>
      <vt:lpstr>YR1Start</vt:lpstr>
      <vt:lpstr>YR2End</vt:lpstr>
      <vt:lpstr>YR2Start</vt:lpstr>
      <vt:lpstr>YR3End</vt:lpstr>
      <vt:lpstr>YR3Start</vt:lpstr>
      <vt:lpstr>YR4End</vt:lpstr>
      <vt:lpstr>YR4Start</vt:lpstr>
      <vt:lpstr>YR5End</vt:lpstr>
      <vt:lpstr>YR5Start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RKS</dc:creator>
  <cp:keywords/>
  <dc:description/>
  <cp:lastModifiedBy>Anderson, Laurie C.</cp:lastModifiedBy>
  <cp:revision/>
  <dcterms:created xsi:type="dcterms:W3CDTF">1998-09-28T17:16:32Z</dcterms:created>
  <dcterms:modified xsi:type="dcterms:W3CDTF">2024-09-08T16:54:18Z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0x01010019B0C1658EAAFE4986DAF3A9C00CD552</vt:lpwstr>
  </property>
  <property fmtid="{D5CDD505-2E9C-101B-9397-08002B2CF9AE}" pid="3" name="Order">
    <vt:r8>349600</vt:r8>
  </property>
</Properties>
</file>